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eganhoover/Library/CloudStorage/Dropbox/Personal/DHS Records and Information/Shelter Records/"/>
    </mc:Choice>
  </mc:AlternateContent>
  <xr:revisionPtr revIDLastSave="0" documentId="13_ncr:1_{FC4E2925-B190-274B-8E73-552D199684C9}" xr6:coauthVersionLast="47" xr6:coauthVersionMax="47" xr10:uidLastSave="{00000000-0000-0000-0000-000000000000}"/>
  <bookViews>
    <workbookView xWindow="-34880" yWindow="2400" windowWidth="33700" windowHeight="19240" activeTab="3" xr2:uid="{EF053F45-93EB-7A47-87B2-3B0AE32715D2}"/>
  </bookViews>
  <sheets>
    <sheet name="Template" sheetId="1" r:id="rId1"/>
    <sheet name="Cats - 2025" sheetId="6" r:id="rId2"/>
    <sheet name="Cat Report" sheetId="7" r:id="rId3"/>
    <sheet name="Dogs - 2025" sheetId="5" r:id="rId4"/>
    <sheet name="Dog Report" sheetId="8" r:id="rId5"/>
    <sheet name="Other - 2025" sheetId="4" state="hidden" r:id="rId6"/>
  </sheets>
  <definedNames>
    <definedName name="_xlnm.Print_Area" localSheetId="2">'Cat Report'!$A$1:$V$47</definedName>
    <definedName name="_xlnm.Print_Area" localSheetId="4">'Dog Report'!$A$1:$V$48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989" i="5" l="1"/>
  <c r="AD988" i="5"/>
  <c r="AD987" i="5"/>
  <c r="F986" i="5" a="1"/>
  <c r="F986" i="5" s="1"/>
  <c r="F987" i="5" a="1"/>
  <c r="F987" i="5" s="1"/>
  <c r="F988" i="5" a="1"/>
  <c r="F988" i="5" s="1"/>
  <c r="F989" i="5" a="1"/>
  <c r="F989" i="5" s="1"/>
  <c r="F990" i="5" a="1"/>
  <c r="F990" i="5"/>
  <c r="F991" i="5" a="1"/>
  <c r="F991" i="5"/>
  <c r="F992" i="5" a="1"/>
  <c r="F992" i="5"/>
  <c r="F993" i="5" a="1"/>
  <c r="F993" i="5" s="1"/>
  <c r="F994" i="5" a="1"/>
  <c r="F994" i="5"/>
  <c r="AD986" i="5"/>
  <c r="AD985" i="5"/>
  <c r="F985" i="5" a="1"/>
  <c r="F985" i="5" s="1"/>
  <c r="AD984" i="5"/>
  <c r="F984" i="5" a="1"/>
  <c r="F984" i="5" s="1"/>
  <c r="AD983" i="5"/>
  <c r="F983" i="5" a="1"/>
  <c r="F983" i="5" s="1"/>
  <c r="AD982" i="5"/>
  <c r="F982" i="5" a="1"/>
  <c r="F982" i="5" s="1"/>
  <c r="AD981" i="5"/>
  <c r="Q22" i="8" s="1"/>
  <c r="F981" i="5" a="1"/>
  <c r="F981" i="5" s="1"/>
  <c r="AD980" i="5"/>
  <c r="F980" i="5" a="1"/>
  <c r="F980" i="5" s="1"/>
  <c r="AD979" i="5"/>
  <c r="F979" i="5" a="1"/>
  <c r="F979" i="5" s="1"/>
  <c r="AD978" i="5"/>
  <c r="F978" i="5" a="1"/>
  <c r="F978" i="5" s="1"/>
  <c r="AD977" i="5"/>
  <c r="F977" i="5" a="1"/>
  <c r="F977" i="5" s="1"/>
  <c r="AD976" i="5"/>
  <c r="F976" i="5" a="1"/>
  <c r="F976" i="5" s="1"/>
  <c r="AD975" i="5"/>
  <c r="F975" i="5" a="1"/>
  <c r="F975" i="5" s="1"/>
  <c r="AD974" i="5"/>
  <c r="F974" i="5" a="1"/>
  <c r="F974" i="5" s="1"/>
  <c r="AD973" i="5"/>
  <c r="F973" i="5" a="1"/>
  <c r="F973" i="5" s="1"/>
  <c r="AD973" i="6"/>
  <c r="AD974" i="6"/>
  <c r="AD975" i="6"/>
  <c r="AD976" i="6"/>
  <c r="Q20" i="7" s="1"/>
  <c r="AD977" i="6"/>
  <c r="AD978" i="6"/>
  <c r="AD979" i="6"/>
  <c r="AD980" i="6"/>
  <c r="AD981" i="6"/>
  <c r="AD982" i="6"/>
  <c r="AD983" i="6"/>
  <c r="AD984" i="6"/>
  <c r="AD985" i="6"/>
  <c r="AD986" i="6"/>
  <c r="AD987" i="6"/>
  <c r="AD988" i="6"/>
  <c r="AD989" i="6"/>
  <c r="AD990" i="6"/>
  <c r="AD991" i="6"/>
  <c r="AD992" i="6"/>
  <c r="AD993" i="6"/>
  <c r="AD994" i="6"/>
  <c r="AD995" i="6"/>
  <c r="AD996" i="6"/>
  <c r="AD997" i="6"/>
  <c r="AD998" i="6"/>
  <c r="AD999" i="6"/>
  <c r="AD1000" i="6"/>
  <c r="AD1001" i="6"/>
  <c r="AD1002" i="6"/>
  <c r="AD1003" i="6"/>
  <c r="AD1004" i="6"/>
  <c r="AD1005" i="6"/>
  <c r="AD1006" i="6"/>
  <c r="AD1007" i="6"/>
  <c r="AD1008" i="6"/>
  <c r="AD1009" i="6"/>
  <c r="AD1010" i="6"/>
  <c r="AD1011" i="6"/>
  <c r="AD1012" i="6"/>
  <c r="AD1013" i="6"/>
  <c r="AD1014" i="6"/>
  <c r="AD1015" i="6"/>
  <c r="AD1016" i="6"/>
  <c r="AD1017" i="6"/>
  <c r="AD1018" i="6"/>
  <c r="AD1019" i="6"/>
  <c r="AD1020" i="6"/>
  <c r="AD1021" i="6"/>
  <c r="AD1022" i="6"/>
  <c r="AD1023" i="6"/>
  <c r="AD1024" i="6"/>
  <c r="AD1025" i="6"/>
  <c r="AD1026" i="6"/>
  <c r="AD1027" i="6"/>
  <c r="AD1028" i="6"/>
  <c r="AD1029" i="6"/>
  <c r="AD1030" i="6"/>
  <c r="AD1031" i="6"/>
  <c r="AD1032" i="6"/>
  <c r="AD1033" i="6"/>
  <c r="AD1034" i="6"/>
  <c r="AD1035" i="6"/>
  <c r="AD1036" i="6"/>
  <c r="AD1037" i="6"/>
  <c r="AD1038" i="6"/>
  <c r="AD1039" i="6"/>
  <c r="AD1040" i="6"/>
  <c r="AD1041" i="6"/>
  <c r="AD1042" i="6"/>
  <c r="AD1043" i="6"/>
  <c r="AD1044" i="6"/>
  <c r="AD1045" i="6"/>
  <c r="AD1046" i="6"/>
  <c r="AD1047" i="6"/>
  <c r="AD1048" i="6"/>
  <c r="AD1049" i="6"/>
  <c r="AD1050" i="6"/>
  <c r="AD1051" i="6"/>
  <c r="AD1052" i="6"/>
  <c r="AD1053" i="6"/>
  <c r="AD1054" i="6"/>
  <c r="AD1055" i="6"/>
  <c r="AD1056" i="6"/>
  <c r="AD1057" i="6"/>
  <c r="AD1058" i="6"/>
  <c r="AD1059" i="6"/>
  <c r="AD1060" i="6"/>
  <c r="AD1061" i="6"/>
  <c r="AD1062" i="6"/>
  <c r="AD1063" i="6"/>
  <c r="AD1064" i="6"/>
  <c r="AD1065" i="6"/>
  <c r="AD1066" i="6"/>
  <c r="AD1067" i="6"/>
  <c r="AD1068" i="6"/>
  <c r="AD1069" i="6"/>
  <c r="AD1070" i="6"/>
  <c r="AD1071" i="6"/>
  <c r="AD1072" i="6"/>
  <c r="AD1073" i="6"/>
  <c r="AD1074" i="6"/>
  <c r="AD1075" i="6"/>
  <c r="AD1076" i="6"/>
  <c r="AD1077" i="6"/>
  <c r="AD1078" i="6"/>
  <c r="AD1079" i="6"/>
  <c r="AD1080" i="6"/>
  <c r="AD1081" i="6"/>
  <c r="AD1082" i="6"/>
  <c r="AD1083" i="6"/>
  <c r="AD1084" i="6"/>
  <c r="AD1085" i="6"/>
  <c r="AD1086" i="6"/>
  <c r="AD1087" i="6"/>
  <c r="AD1088" i="6"/>
  <c r="AD1089" i="6"/>
  <c r="AD1090" i="6"/>
  <c r="AD1091" i="6"/>
  <c r="AD1092" i="6"/>
  <c r="AD1093" i="6"/>
  <c r="AD1094" i="6"/>
  <c r="AD1095" i="6"/>
  <c r="AD1096" i="6"/>
  <c r="AD1097" i="6"/>
  <c r="AD1098" i="6"/>
  <c r="AD1099" i="6"/>
  <c r="AD1100" i="6"/>
  <c r="AD1101" i="6"/>
  <c r="AD1102" i="6"/>
  <c r="AD1103" i="6"/>
  <c r="AD1104" i="6"/>
  <c r="AD1105" i="6"/>
  <c r="AD1106" i="6"/>
  <c r="AD1107" i="6"/>
  <c r="AD1108" i="6"/>
  <c r="Q22" i="7"/>
  <c r="Q23" i="7"/>
  <c r="Q25" i="7"/>
  <c r="Q19" i="7"/>
  <c r="AD972" i="6"/>
  <c r="AD971" i="6"/>
  <c r="AD970" i="6"/>
  <c r="AD969" i="6"/>
  <c r="AD968" i="6"/>
  <c r="AD967" i="6"/>
  <c r="AD966" i="6"/>
  <c r="AD965" i="6"/>
  <c r="AD964" i="6"/>
  <c r="AD963" i="6"/>
  <c r="AD962" i="6"/>
  <c r="AD961" i="6"/>
  <c r="AD960" i="6"/>
  <c r="AD959" i="6"/>
  <c r="AD958" i="6"/>
  <c r="AD957" i="6"/>
  <c r="AD956" i="6"/>
  <c r="AD955" i="6"/>
  <c r="AD954" i="6"/>
  <c r="AD953" i="6"/>
  <c r="AD952" i="6"/>
  <c r="AD951" i="6"/>
  <c r="AD950" i="6"/>
  <c r="AD949" i="6"/>
  <c r="AD948" i="6"/>
  <c r="AD947" i="6"/>
  <c r="AD946" i="6"/>
  <c r="AD945" i="6"/>
  <c r="AD944" i="6"/>
  <c r="AD943" i="6"/>
  <c r="AD942" i="6"/>
  <c r="AD941" i="6"/>
  <c r="AD940" i="6"/>
  <c r="AD939" i="6"/>
  <c r="AD938" i="6"/>
  <c r="AD937" i="6"/>
  <c r="AD936" i="6"/>
  <c r="AD935" i="6"/>
  <c r="AD934" i="6"/>
  <c r="AD933" i="6"/>
  <c r="AD932" i="6"/>
  <c r="AD931" i="6"/>
  <c r="AD930" i="6"/>
  <c r="AD929" i="6"/>
  <c r="AD928" i="6"/>
  <c r="AD927" i="6"/>
  <c r="AD926" i="6"/>
  <c r="AD925" i="6"/>
  <c r="AD924" i="6"/>
  <c r="AD923" i="6"/>
  <c r="AD922" i="6"/>
  <c r="AD921" i="6"/>
  <c r="AD920" i="6"/>
  <c r="AD919" i="6"/>
  <c r="AD918" i="6"/>
  <c r="AD917" i="6"/>
  <c r="AD916" i="6"/>
  <c r="AD915" i="6"/>
  <c r="AD914" i="6"/>
  <c r="AD913" i="6"/>
  <c r="AD912" i="6"/>
  <c r="AD911" i="6"/>
  <c r="AD910" i="6"/>
  <c r="AD909" i="6"/>
  <c r="AD908" i="6"/>
  <c r="AD907" i="6"/>
  <c r="AD906" i="6"/>
  <c r="AD905" i="6"/>
  <c r="AD904" i="6"/>
  <c r="AD903" i="6"/>
  <c r="AD902" i="6"/>
  <c r="AD901" i="6"/>
  <c r="AD900" i="6"/>
  <c r="AD899" i="6"/>
  <c r="AD898" i="6"/>
  <c r="AD897" i="6"/>
  <c r="AD896" i="6"/>
  <c r="AD895" i="6"/>
  <c r="AD894" i="6"/>
  <c r="AD893" i="6"/>
  <c r="AD892" i="6"/>
  <c r="AD891" i="6"/>
  <c r="AD890" i="6"/>
  <c r="AD889" i="6"/>
  <c r="AD888" i="6"/>
  <c r="AD887" i="6"/>
  <c r="AD886" i="6"/>
  <c r="AD885" i="6"/>
  <c r="AD884" i="6"/>
  <c r="AD883" i="6"/>
  <c r="AD882" i="6"/>
  <c r="AD881" i="6"/>
  <c r="AD880" i="6"/>
  <c r="AD879" i="6"/>
  <c r="AD878" i="6"/>
  <c r="AD877" i="6"/>
  <c r="AD876" i="6"/>
  <c r="AD875" i="6"/>
  <c r="AD874" i="6"/>
  <c r="AD873" i="6"/>
  <c r="AD872" i="6"/>
  <c r="AD871" i="6"/>
  <c r="AD870" i="6"/>
  <c r="AD869" i="6"/>
  <c r="AD868" i="6"/>
  <c r="AD867" i="6"/>
  <c r="AD866" i="6"/>
  <c r="AD865" i="6"/>
  <c r="AD864" i="6"/>
  <c r="AD863" i="6"/>
  <c r="AD862" i="6"/>
  <c r="AD861" i="6"/>
  <c r="AD860" i="6"/>
  <c r="AD859" i="6"/>
  <c r="AD858" i="6"/>
  <c r="AD857" i="6"/>
  <c r="AD856" i="6"/>
  <c r="AD855" i="6"/>
  <c r="AD854" i="6"/>
  <c r="AD853" i="6"/>
  <c r="AD852" i="6"/>
  <c r="AD851" i="6"/>
  <c r="AD850" i="6"/>
  <c r="AD849" i="6"/>
  <c r="AD848" i="6"/>
  <c r="AD847" i="6"/>
  <c r="AD846" i="6"/>
  <c r="AD845" i="6"/>
  <c r="AD844" i="6"/>
  <c r="AD843" i="6"/>
  <c r="AD842" i="6"/>
  <c r="AD841" i="6"/>
  <c r="AD840" i="6"/>
  <c r="AD839" i="6"/>
  <c r="AD838" i="6"/>
  <c r="AD837" i="6"/>
  <c r="AD836" i="6"/>
  <c r="AD835" i="6"/>
  <c r="AD834" i="6"/>
  <c r="AD833" i="6"/>
  <c r="AD832" i="6"/>
  <c r="AD831" i="6"/>
  <c r="AD830" i="6"/>
  <c r="AD829" i="6"/>
  <c r="AD828" i="6"/>
  <c r="AD827" i="6"/>
  <c r="AD826" i="6"/>
  <c r="AD825" i="6"/>
  <c r="AD824" i="6"/>
  <c r="AD823" i="6"/>
  <c r="AD822" i="6"/>
  <c r="AD821" i="6"/>
  <c r="AD820" i="6"/>
  <c r="AD819" i="6"/>
  <c r="AD818" i="6"/>
  <c r="AD817" i="6"/>
  <c r="AD816" i="6"/>
  <c r="AD815" i="6"/>
  <c r="AD814" i="6"/>
  <c r="AD813" i="6"/>
  <c r="AD812" i="6"/>
  <c r="AD811" i="6"/>
  <c r="AD810" i="6"/>
  <c r="AD809" i="6"/>
  <c r="AD808" i="6"/>
  <c r="AD807" i="6"/>
  <c r="AD806" i="6"/>
  <c r="AD805" i="6"/>
  <c r="AD804" i="6"/>
  <c r="AD803" i="6"/>
  <c r="AD802" i="6"/>
  <c r="AD801" i="6"/>
  <c r="AD800" i="6"/>
  <c r="AD799" i="6"/>
  <c r="AD798" i="6"/>
  <c r="AD797" i="6"/>
  <c r="AD796" i="6"/>
  <c r="AD795" i="6"/>
  <c r="AD794" i="6"/>
  <c r="AD793" i="6"/>
  <c r="AD792" i="6"/>
  <c r="AD791" i="6"/>
  <c r="AD790" i="6"/>
  <c r="AD789" i="6"/>
  <c r="AD788" i="6"/>
  <c r="AD787" i="6"/>
  <c r="AD786" i="6"/>
  <c r="AD785" i="6"/>
  <c r="AD784" i="6"/>
  <c r="AD783" i="6"/>
  <c r="AD782" i="6"/>
  <c r="AD781" i="6"/>
  <c r="AD780" i="6"/>
  <c r="AD779" i="6"/>
  <c r="AD778" i="6"/>
  <c r="AD777" i="6"/>
  <c r="AD776" i="6"/>
  <c r="AD775" i="6"/>
  <c r="AD774" i="6"/>
  <c r="AD773" i="6"/>
  <c r="AD772" i="6"/>
  <c r="AD771" i="6"/>
  <c r="AD770" i="6"/>
  <c r="AD769" i="6"/>
  <c r="AD768" i="6"/>
  <c r="AD767" i="6"/>
  <c r="AD766" i="6"/>
  <c r="AD765" i="6"/>
  <c r="AD764" i="6"/>
  <c r="AD763" i="6"/>
  <c r="AD762" i="6"/>
  <c r="AD761" i="6"/>
  <c r="AD760" i="6"/>
  <c r="AD759" i="6"/>
  <c r="AD758" i="6"/>
  <c r="AD757" i="6"/>
  <c r="AD756" i="6"/>
  <c r="AD755" i="6"/>
  <c r="AD754" i="6"/>
  <c r="AD753" i="6"/>
  <c r="AD752" i="6"/>
  <c r="AD751" i="6"/>
  <c r="AD750" i="6"/>
  <c r="AD749" i="6"/>
  <c r="AD748" i="6"/>
  <c r="AD747" i="6"/>
  <c r="AD746" i="6"/>
  <c r="AD745" i="6"/>
  <c r="AD744" i="6"/>
  <c r="AD743" i="6"/>
  <c r="AD742" i="6"/>
  <c r="AD741" i="6"/>
  <c r="AD740" i="6"/>
  <c r="AD739" i="6"/>
  <c r="AD738" i="6"/>
  <c r="AD737" i="6"/>
  <c r="AD736" i="6"/>
  <c r="AD735" i="6"/>
  <c r="AD734" i="6"/>
  <c r="AD733" i="6"/>
  <c r="AD732" i="6"/>
  <c r="AD731" i="6"/>
  <c r="AD730" i="6"/>
  <c r="AD729" i="6"/>
  <c r="AD728" i="6"/>
  <c r="AD727" i="6"/>
  <c r="AD726" i="6"/>
  <c r="AD725" i="6"/>
  <c r="AD724" i="6"/>
  <c r="AD723" i="6"/>
  <c r="AD722" i="6"/>
  <c r="AD721" i="6"/>
  <c r="AD720" i="6"/>
  <c r="AD719" i="6"/>
  <c r="AD718" i="6"/>
  <c r="AD717" i="6"/>
  <c r="AD716" i="6"/>
  <c r="AD715" i="6"/>
  <c r="AD714" i="6"/>
  <c r="AD713" i="6"/>
  <c r="AD712" i="6"/>
  <c r="AD711" i="6"/>
  <c r="AD710" i="6"/>
  <c r="AD709" i="6"/>
  <c r="AD708" i="6"/>
  <c r="AD707" i="6"/>
  <c r="AD706" i="6"/>
  <c r="AD705" i="6"/>
  <c r="AD704" i="6"/>
  <c r="AD703" i="6"/>
  <c r="AD702" i="6"/>
  <c r="AD701" i="6"/>
  <c r="AD700" i="6"/>
  <c r="AD699" i="6"/>
  <c r="AD698" i="6"/>
  <c r="AD697" i="6"/>
  <c r="AD696" i="6"/>
  <c r="AD695" i="6"/>
  <c r="AD694" i="6"/>
  <c r="AD693" i="6"/>
  <c r="AD692" i="6"/>
  <c r="AD691" i="6"/>
  <c r="AD690" i="6"/>
  <c r="AD689" i="6"/>
  <c r="AD688" i="6"/>
  <c r="AD687" i="6"/>
  <c r="AD686" i="6"/>
  <c r="AD685" i="6"/>
  <c r="AD684" i="6"/>
  <c r="AD683" i="6"/>
  <c r="AD682" i="6"/>
  <c r="AD681" i="6"/>
  <c r="AD680" i="6"/>
  <c r="AD679" i="6"/>
  <c r="AD678" i="6"/>
  <c r="AD677" i="6"/>
  <c r="AD676" i="6"/>
  <c r="AD675" i="6"/>
  <c r="AD674" i="6"/>
  <c r="AD673" i="6"/>
  <c r="AD672" i="6"/>
  <c r="AD671" i="6"/>
  <c r="AD670" i="6"/>
  <c r="AD669" i="6"/>
  <c r="AD668" i="6"/>
  <c r="AD667" i="6"/>
  <c r="AD666" i="6"/>
  <c r="AD665" i="6"/>
  <c r="AD664" i="6"/>
  <c r="AD663" i="6"/>
  <c r="AD662" i="6"/>
  <c r="AD661" i="6"/>
  <c r="AD660" i="6"/>
  <c r="AD659" i="6"/>
  <c r="AD658" i="6"/>
  <c r="AD657" i="6"/>
  <c r="AD656" i="6"/>
  <c r="AD655" i="6"/>
  <c r="AD654" i="6"/>
  <c r="AD653" i="6"/>
  <c r="AD652" i="6"/>
  <c r="AD651" i="6"/>
  <c r="AD650" i="6"/>
  <c r="AD649" i="6"/>
  <c r="AD648" i="6"/>
  <c r="AD647" i="6"/>
  <c r="AD646" i="6"/>
  <c r="AD645" i="6"/>
  <c r="AD644" i="6"/>
  <c r="AD643" i="6"/>
  <c r="AD642" i="6"/>
  <c r="AD641" i="6"/>
  <c r="AD640" i="6"/>
  <c r="AD639" i="6"/>
  <c r="AD638" i="6"/>
  <c r="AD637" i="6"/>
  <c r="AD636" i="6"/>
  <c r="AD635" i="6"/>
  <c r="AD634" i="6"/>
  <c r="AD633" i="6"/>
  <c r="AD632" i="6"/>
  <c r="AD631" i="6"/>
  <c r="AD630" i="6"/>
  <c r="AD629" i="6"/>
  <c r="AD628" i="6"/>
  <c r="AD627" i="6"/>
  <c r="AD626" i="6"/>
  <c r="AD625" i="6"/>
  <c r="AD624" i="6"/>
  <c r="AD623" i="6"/>
  <c r="AD622" i="6"/>
  <c r="AD621" i="6"/>
  <c r="AD620" i="6"/>
  <c r="AD619" i="6"/>
  <c r="AD618" i="6"/>
  <c r="AD617" i="6"/>
  <c r="AD616" i="6"/>
  <c r="AD615" i="6"/>
  <c r="AD614" i="6"/>
  <c r="AD613" i="6"/>
  <c r="AD612" i="6"/>
  <c r="AD611" i="6"/>
  <c r="AD610" i="6"/>
  <c r="AD609" i="6"/>
  <c r="AD608" i="6"/>
  <c r="AD607" i="6"/>
  <c r="AD606" i="6"/>
  <c r="AD605" i="6"/>
  <c r="AD604" i="6"/>
  <c r="AD603" i="6"/>
  <c r="AD602" i="6"/>
  <c r="AD601" i="6"/>
  <c r="AD600" i="6"/>
  <c r="AD599" i="6"/>
  <c r="AD598" i="6"/>
  <c r="AD597" i="6"/>
  <c r="AD596" i="6"/>
  <c r="AD595" i="6"/>
  <c r="AD594" i="6"/>
  <c r="AD593" i="6"/>
  <c r="AD592" i="6"/>
  <c r="AD591" i="6"/>
  <c r="AD590" i="6"/>
  <c r="AD589" i="6"/>
  <c r="AD588" i="6"/>
  <c r="AD587" i="6"/>
  <c r="AD586" i="6"/>
  <c r="AD585" i="6"/>
  <c r="AD584" i="6"/>
  <c r="AD583" i="6"/>
  <c r="AD582" i="6"/>
  <c r="AD581" i="6"/>
  <c r="AD580" i="6"/>
  <c r="AD579" i="6"/>
  <c r="AD578" i="6"/>
  <c r="AD577" i="6"/>
  <c r="AD576" i="6"/>
  <c r="AD575" i="6"/>
  <c r="AD574" i="6"/>
  <c r="AD573" i="6"/>
  <c r="AD572" i="6"/>
  <c r="AD571" i="6"/>
  <c r="AD570" i="6"/>
  <c r="AD569" i="6"/>
  <c r="AD568" i="6"/>
  <c r="AD567" i="6"/>
  <c r="AD566" i="6"/>
  <c r="AD565" i="6"/>
  <c r="AD564" i="6"/>
  <c r="AD563" i="6"/>
  <c r="AD562" i="6"/>
  <c r="AD561" i="6"/>
  <c r="AD560" i="6"/>
  <c r="AD559" i="6"/>
  <c r="AD558" i="6"/>
  <c r="AD557" i="6"/>
  <c r="AD556" i="6"/>
  <c r="AD555" i="6"/>
  <c r="AD554" i="6"/>
  <c r="AD553" i="6"/>
  <c r="AD552" i="6"/>
  <c r="AD551" i="6"/>
  <c r="AD550" i="6"/>
  <c r="AD549" i="6"/>
  <c r="AD548" i="6"/>
  <c r="AD547" i="6"/>
  <c r="AD546" i="6"/>
  <c r="AD545" i="6"/>
  <c r="AD544" i="6"/>
  <c r="AD543" i="6"/>
  <c r="AD542" i="6"/>
  <c r="AD541" i="6"/>
  <c r="AD540" i="6"/>
  <c r="AD539" i="6"/>
  <c r="AD538" i="6"/>
  <c r="AD537" i="6"/>
  <c r="AD536" i="6"/>
  <c r="AD535" i="6"/>
  <c r="AD534" i="6"/>
  <c r="AD533" i="6"/>
  <c r="AD532" i="6"/>
  <c r="AD531" i="6"/>
  <c r="AD530" i="6"/>
  <c r="AD529" i="6"/>
  <c r="AD528" i="6"/>
  <c r="AD527" i="6"/>
  <c r="AD526" i="6"/>
  <c r="AD525" i="6"/>
  <c r="AD524" i="6"/>
  <c r="AD523" i="6"/>
  <c r="AD522" i="6"/>
  <c r="AD521" i="6"/>
  <c r="AD520" i="6"/>
  <c r="AD519" i="6"/>
  <c r="AD518" i="6"/>
  <c r="AD517" i="6"/>
  <c r="AD516" i="6"/>
  <c r="AD515" i="6"/>
  <c r="AD514" i="6"/>
  <c r="AD513" i="6"/>
  <c r="AD512" i="6"/>
  <c r="AD511" i="6"/>
  <c r="AD510" i="6"/>
  <c r="AD509" i="6"/>
  <c r="AD508" i="6"/>
  <c r="AD507" i="6"/>
  <c r="AD506" i="6"/>
  <c r="AD505" i="6"/>
  <c r="AD504" i="6"/>
  <c r="AD503" i="6"/>
  <c r="AD502" i="6"/>
  <c r="AD501" i="6"/>
  <c r="AD500" i="6"/>
  <c r="AD499" i="6"/>
  <c r="AD498" i="6"/>
  <c r="AD497" i="6"/>
  <c r="AD496" i="6"/>
  <c r="AD495" i="6"/>
  <c r="AD494" i="6"/>
  <c r="AD493" i="6"/>
  <c r="AD492" i="6"/>
  <c r="AD491" i="6"/>
  <c r="AD490" i="6"/>
  <c r="AD489" i="6"/>
  <c r="AD488" i="6"/>
  <c r="AD487" i="6"/>
  <c r="AD486" i="6"/>
  <c r="AD485" i="6"/>
  <c r="AD484" i="6"/>
  <c r="AD483" i="6"/>
  <c r="AD482" i="6"/>
  <c r="AD481" i="6"/>
  <c r="AD480" i="6"/>
  <c r="AD479" i="6"/>
  <c r="AD478" i="6"/>
  <c r="AD477" i="6"/>
  <c r="AD476" i="6"/>
  <c r="AD475" i="6"/>
  <c r="AD474" i="6"/>
  <c r="AD473" i="6"/>
  <c r="AD472" i="6"/>
  <c r="AD471" i="6"/>
  <c r="AD470" i="6"/>
  <c r="AD469" i="6"/>
  <c r="AD468" i="6"/>
  <c r="AD467" i="6"/>
  <c r="AD466" i="6"/>
  <c r="AD465" i="6"/>
  <c r="AD464" i="6"/>
  <c r="AD463" i="6"/>
  <c r="AD462" i="6"/>
  <c r="AD461" i="6"/>
  <c r="AD460" i="6"/>
  <c r="AD459" i="6"/>
  <c r="AD458" i="6"/>
  <c r="AD457" i="6"/>
  <c r="AD456" i="6"/>
  <c r="AD455" i="6"/>
  <c r="AD454" i="6"/>
  <c r="AD453" i="6"/>
  <c r="AD452" i="6"/>
  <c r="AD451" i="6"/>
  <c r="AD450" i="6"/>
  <c r="AD449" i="6"/>
  <c r="AD448" i="6"/>
  <c r="AD447" i="6"/>
  <c r="AD446" i="6"/>
  <c r="AD445" i="6"/>
  <c r="AD444" i="6"/>
  <c r="AD443" i="6"/>
  <c r="AD442" i="6"/>
  <c r="AD441" i="6"/>
  <c r="AD440" i="6"/>
  <c r="AD439" i="6"/>
  <c r="AD438" i="6"/>
  <c r="AD437" i="6"/>
  <c r="AD436" i="6"/>
  <c r="AD435" i="6"/>
  <c r="AD434" i="6"/>
  <c r="AD433" i="6"/>
  <c r="AD432" i="6"/>
  <c r="AD431" i="6"/>
  <c r="AD430" i="6"/>
  <c r="AD429" i="6"/>
  <c r="AD428" i="6"/>
  <c r="AD427" i="6"/>
  <c r="AD426" i="6"/>
  <c r="AD425" i="6"/>
  <c r="AD424" i="6"/>
  <c r="AD423" i="6"/>
  <c r="AD422" i="6"/>
  <c r="AD421" i="6"/>
  <c r="AD420" i="6"/>
  <c r="AD419" i="6"/>
  <c r="AD418" i="6"/>
  <c r="AD417" i="6"/>
  <c r="AD416" i="6"/>
  <c r="AD415" i="6"/>
  <c r="AD414" i="6"/>
  <c r="AD413" i="6"/>
  <c r="AD412" i="6"/>
  <c r="AD411" i="6"/>
  <c r="AD410" i="6"/>
  <c r="AD409" i="6"/>
  <c r="AD408" i="6"/>
  <c r="AD407" i="6"/>
  <c r="AD406" i="6"/>
  <c r="AD405" i="6"/>
  <c r="AD404" i="6"/>
  <c r="AD403" i="6"/>
  <c r="AD402" i="6"/>
  <c r="AD401" i="6"/>
  <c r="AD400" i="6"/>
  <c r="AD399" i="6"/>
  <c r="AD398" i="6"/>
  <c r="AD397" i="6"/>
  <c r="AD396" i="6"/>
  <c r="AD395" i="6"/>
  <c r="AD394" i="6"/>
  <c r="AD393" i="6"/>
  <c r="AD392" i="6"/>
  <c r="AD391" i="6"/>
  <c r="AD390" i="6"/>
  <c r="AD389" i="6"/>
  <c r="AD388" i="6"/>
  <c r="AD387" i="6"/>
  <c r="AD386" i="6"/>
  <c r="AD385" i="6"/>
  <c r="AD384" i="6"/>
  <c r="AD383" i="6"/>
  <c r="AD382" i="6"/>
  <c r="AD381" i="6"/>
  <c r="AD380" i="6"/>
  <c r="AD379" i="6"/>
  <c r="AD378" i="6"/>
  <c r="AD377" i="6"/>
  <c r="AD376" i="6"/>
  <c r="AD375" i="6"/>
  <c r="AD374" i="6"/>
  <c r="AD373" i="6"/>
  <c r="AD372" i="6"/>
  <c r="AD371" i="6"/>
  <c r="AD370" i="6"/>
  <c r="AD369" i="6"/>
  <c r="AD368" i="6"/>
  <c r="AD367" i="6"/>
  <c r="AD366" i="6"/>
  <c r="AD365" i="6"/>
  <c r="AD364" i="6"/>
  <c r="AD363" i="6"/>
  <c r="AD362" i="6"/>
  <c r="AD361" i="6"/>
  <c r="AD360" i="6"/>
  <c r="AD359" i="6"/>
  <c r="AD358" i="6"/>
  <c r="AD357" i="6"/>
  <c r="AD356" i="6"/>
  <c r="AD355" i="6"/>
  <c r="AD354" i="6"/>
  <c r="AD353" i="6"/>
  <c r="AD352" i="6"/>
  <c r="AD351" i="6"/>
  <c r="AD350" i="6"/>
  <c r="AD349" i="6"/>
  <c r="AD348" i="6"/>
  <c r="AD347" i="6"/>
  <c r="AD346" i="6"/>
  <c r="AD345" i="6"/>
  <c r="AD344" i="6"/>
  <c r="AD343" i="6"/>
  <c r="AD342" i="6"/>
  <c r="AD341" i="6"/>
  <c r="AD340" i="6"/>
  <c r="AD339" i="6"/>
  <c r="AD338" i="6"/>
  <c r="AD337" i="6"/>
  <c r="AD336" i="6"/>
  <c r="AD335" i="6"/>
  <c r="AD334" i="6"/>
  <c r="AD333" i="6"/>
  <c r="AD332" i="6"/>
  <c r="AD331" i="6"/>
  <c r="AD330" i="6"/>
  <c r="AD329" i="6"/>
  <c r="AD328" i="6"/>
  <c r="AD327" i="6"/>
  <c r="AD326" i="6"/>
  <c r="AD325" i="6"/>
  <c r="AD324" i="6"/>
  <c r="AD323" i="6"/>
  <c r="AD322" i="6"/>
  <c r="AD321" i="6"/>
  <c r="AD320" i="6"/>
  <c r="AD319" i="6"/>
  <c r="AD318" i="6"/>
  <c r="AD317" i="6"/>
  <c r="AD316" i="6"/>
  <c r="AD315" i="6"/>
  <c r="AD314" i="6"/>
  <c r="AD313" i="6"/>
  <c r="AD312" i="6"/>
  <c r="AD311" i="6"/>
  <c r="AD310" i="6"/>
  <c r="AD309" i="6"/>
  <c r="AD308" i="6"/>
  <c r="AD307" i="6"/>
  <c r="AD306" i="6"/>
  <c r="AD305" i="6"/>
  <c r="AD304" i="6"/>
  <c r="AD303" i="6"/>
  <c r="AD302" i="6"/>
  <c r="AD301" i="6"/>
  <c r="AD300" i="6"/>
  <c r="AD299" i="6"/>
  <c r="AD298" i="6"/>
  <c r="AD297" i="6"/>
  <c r="AD296" i="6"/>
  <c r="AD295" i="6"/>
  <c r="AD294" i="6"/>
  <c r="AD293" i="6"/>
  <c r="AD292" i="6"/>
  <c r="AD291" i="6"/>
  <c r="AD290" i="6"/>
  <c r="AD289" i="6"/>
  <c r="AD288" i="6"/>
  <c r="AD287" i="6"/>
  <c r="AD286" i="6"/>
  <c r="AD285" i="6"/>
  <c r="AD284" i="6"/>
  <c r="AD283" i="6"/>
  <c r="AD282" i="6"/>
  <c r="AD281" i="6"/>
  <c r="AD280" i="6"/>
  <c r="AD279" i="6"/>
  <c r="AD278" i="6"/>
  <c r="AD277" i="6"/>
  <c r="AD276" i="6"/>
  <c r="AD275" i="6"/>
  <c r="AD274" i="6"/>
  <c r="AD273" i="6"/>
  <c r="AD272" i="6"/>
  <c r="AD271" i="6"/>
  <c r="AD270" i="6"/>
  <c r="AD269" i="6"/>
  <c r="AD268" i="6"/>
  <c r="AD267" i="6"/>
  <c r="AD266" i="6"/>
  <c r="AD265" i="6"/>
  <c r="AD264" i="6"/>
  <c r="AD263" i="6"/>
  <c r="AD262" i="6"/>
  <c r="AD261" i="6"/>
  <c r="AD260" i="6"/>
  <c r="AD259" i="6"/>
  <c r="AD258" i="6"/>
  <c r="AD257" i="6"/>
  <c r="AD256" i="6"/>
  <c r="AD255" i="6"/>
  <c r="AD254" i="6"/>
  <c r="AD253" i="6"/>
  <c r="AD252" i="6"/>
  <c r="AD251" i="6"/>
  <c r="AD250" i="6"/>
  <c r="AD249" i="6"/>
  <c r="AD248" i="6"/>
  <c r="AD247" i="6"/>
  <c r="AD246" i="6"/>
  <c r="AD245" i="6"/>
  <c r="AD244" i="6"/>
  <c r="AD243" i="6"/>
  <c r="AD242" i="6"/>
  <c r="AD241" i="6"/>
  <c r="AD240" i="6"/>
  <c r="AD239" i="6"/>
  <c r="AD238" i="6"/>
  <c r="AD237" i="6"/>
  <c r="AD236" i="6"/>
  <c r="AD235" i="6"/>
  <c r="AD234" i="6"/>
  <c r="AD233" i="6"/>
  <c r="AD232" i="6"/>
  <c r="AD231" i="6"/>
  <c r="AD230" i="6"/>
  <c r="AD229" i="6"/>
  <c r="AD228" i="6"/>
  <c r="AD227" i="6"/>
  <c r="AD226" i="6"/>
  <c r="AD225" i="6"/>
  <c r="AD224" i="6"/>
  <c r="AD223" i="6"/>
  <c r="AD222" i="6"/>
  <c r="AD221" i="6"/>
  <c r="AD220" i="6"/>
  <c r="AD219" i="6"/>
  <c r="AD218" i="6"/>
  <c r="AD217" i="6"/>
  <c r="AD216" i="6"/>
  <c r="AD215" i="6"/>
  <c r="AD214" i="6"/>
  <c r="AD213" i="6"/>
  <c r="AD212" i="6"/>
  <c r="AD211" i="6"/>
  <c r="AD210" i="6"/>
  <c r="AD209" i="6"/>
  <c r="AD208" i="6"/>
  <c r="AD207" i="6"/>
  <c r="AD206" i="6"/>
  <c r="AD205" i="6"/>
  <c r="AD204" i="6"/>
  <c r="AD203" i="6"/>
  <c r="AD202" i="6"/>
  <c r="AD201" i="6"/>
  <c r="AD200" i="6"/>
  <c r="AD199" i="6"/>
  <c r="AD198" i="6"/>
  <c r="AD197" i="6"/>
  <c r="AD196" i="6"/>
  <c r="AD195" i="6"/>
  <c r="AD194" i="6"/>
  <c r="AD193" i="6"/>
  <c r="AD192" i="6"/>
  <c r="AD191" i="6"/>
  <c r="AD190" i="6"/>
  <c r="AD189" i="6"/>
  <c r="AD188" i="6"/>
  <c r="AD187" i="6"/>
  <c r="AD186" i="6"/>
  <c r="AD185" i="6"/>
  <c r="AD184" i="6"/>
  <c r="AD183" i="6"/>
  <c r="AD182" i="6"/>
  <c r="AD181" i="6"/>
  <c r="AD180" i="6"/>
  <c r="AD179" i="6"/>
  <c r="AD178" i="6"/>
  <c r="AD177" i="6"/>
  <c r="AD176" i="6"/>
  <c r="AD175" i="6"/>
  <c r="AD174" i="6"/>
  <c r="AD173" i="6"/>
  <c r="AD172" i="6"/>
  <c r="AD171" i="6"/>
  <c r="AD170" i="6"/>
  <c r="AD169" i="6"/>
  <c r="AD168" i="6"/>
  <c r="AD167" i="6"/>
  <c r="AD166" i="6"/>
  <c r="AD165" i="6"/>
  <c r="AD164" i="6"/>
  <c r="AD163" i="6"/>
  <c r="AD162" i="6"/>
  <c r="AD161" i="6"/>
  <c r="AD160" i="6"/>
  <c r="AD159" i="6"/>
  <c r="AD158" i="6"/>
  <c r="AD157" i="6"/>
  <c r="AD156" i="6"/>
  <c r="AD155" i="6"/>
  <c r="AD154" i="6"/>
  <c r="AD153" i="6"/>
  <c r="AD152" i="6"/>
  <c r="AD151" i="6"/>
  <c r="AD150" i="6"/>
  <c r="AD149" i="6"/>
  <c r="AD148" i="6"/>
  <c r="AD147" i="6"/>
  <c r="AD146" i="6"/>
  <c r="AD145" i="6"/>
  <c r="AD144" i="6"/>
  <c r="AD143" i="6"/>
  <c r="AD142" i="6"/>
  <c r="AD141" i="6"/>
  <c r="AD140" i="6"/>
  <c r="AD139" i="6"/>
  <c r="AD138" i="6"/>
  <c r="AD137" i="6"/>
  <c r="AD136" i="6"/>
  <c r="AD135" i="6"/>
  <c r="AD134" i="6"/>
  <c r="AD133" i="6"/>
  <c r="AD132" i="6"/>
  <c r="AD131" i="6"/>
  <c r="AD130" i="6"/>
  <c r="AD129" i="6"/>
  <c r="AD128" i="6"/>
  <c r="AD127" i="6"/>
  <c r="AD126" i="6"/>
  <c r="AD125" i="6"/>
  <c r="AD124" i="6"/>
  <c r="AD123" i="6"/>
  <c r="AD122" i="6"/>
  <c r="AD121" i="6"/>
  <c r="AD120" i="6"/>
  <c r="AD119" i="6"/>
  <c r="AD118" i="6"/>
  <c r="AD117" i="6"/>
  <c r="AD116" i="6"/>
  <c r="AD115" i="6"/>
  <c r="AD114" i="6"/>
  <c r="AD113" i="6"/>
  <c r="AD112" i="6"/>
  <c r="AD111" i="6"/>
  <c r="AD110" i="6"/>
  <c r="AD109" i="6"/>
  <c r="AD108" i="6"/>
  <c r="AD107" i="6"/>
  <c r="AD106" i="6"/>
  <c r="AD105" i="6"/>
  <c r="AD104" i="6"/>
  <c r="AD103" i="6"/>
  <c r="AD102" i="6"/>
  <c r="AD101" i="6"/>
  <c r="AD100" i="6"/>
  <c r="AD99" i="6"/>
  <c r="AD98" i="6"/>
  <c r="AD97" i="6"/>
  <c r="AD96" i="6"/>
  <c r="AD95" i="6"/>
  <c r="AD94" i="6"/>
  <c r="AD93" i="6"/>
  <c r="AD92" i="6"/>
  <c r="AD91" i="6"/>
  <c r="AD90" i="6"/>
  <c r="AD89" i="6"/>
  <c r="AD88" i="6"/>
  <c r="AD87" i="6"/>
  <c r="AD86" i="6"/>
  <c r="AD85" i="6"/>
  <c r="AD84" i="6"/>
  <c r="AD83" i="6"/>
  <c r="AD82" i="6"/>
  <c r="AD81" i="6"/>
  <c r="AD80" i="6"/>
  <c r="AD79" i="6"/>
  <c r="AD78" i="6"/>
  <c r="AD77" i="6"/>
  <c r="AD76" i="6"/>
  <c r="AD75" i="6"/>
  <c r="AD74" i="6"/>
  <c r="AD73" i="6"/>
  <c r="AD72" i="6"/>
  <c r="AD71" i="6"/>
  <c r="AD70" i="6"/>
  <c r="AD69" i="6"/>
  <c r="AD68" i="6"/>
  <c r="AD67" i="6"/>
  <c r="AD66" i="6"/>
  <c r="AD65" i="6"/>
  <c r="AD64" i="6"/>
  <c r="AD63" i="6"/>
  <c r="AD62" i="6"/>
  <c r="AD61" i="6"/>
  <c r="AD60" i="6"/>
  <c r="AD59" i="6"/>
  <c r="AD58" i="6"/>
  <c r="AD57" i="6"/>
  <c r="AD56" i="6"/>
  <c r="AD55" i="6"/>
  <c r="AD54" i="6"/>
  <c r="AD53" i="6"/>
  <c r="AD52" i="6"/>
  <c r="AD51" i="6"/>
  <c r="AD50" i="6"/>
  <c r="AD49" i="6"/>
  <c r="AD48" i="6"/>
  <c r="AD47" i="6"/>
  <c r="AD46" i="6"/>
  <c r="AD45" i="6"/>
  <c r="AD44" i="6"/>
  <c r="AD43" i="6"/>
  <c r="AD42" i="6"/>
  <c r="AD41" i="6"/>
  <c r="AD40" i="6"/>
  <c r="AD39" i="6"/>
  <c r="AD38" i="6"/>
  <c r="AD37" i="6"/>
  <c r="AD36" i="6"/>
  <c r="AD35" i="6"/>
  <c r="AD34" i="6"/>
  <c r="AD33" i="6"/>
  <c r="AD32" i="6"/>
  <c r="AD31" i="6"/>
  <c r="AD30" i="6"/>
  <c r="AD29" i="6"/>
  <c r="AD28" i="6"/>
  <c r="AD27" i="6"/>
  <c r="AD26" i="6"/>
  <c r="AD25" i="6"/>
  <c r="AD24" i="6"/>
  <c r="AD23" i="6"/>
  <c r="AD22" i="6"/>
  <c r="AD21" i="6"/>
  <c r="AD20" i="6"/>
  <c r="AD19" i="6"/>
  <c r="AD18" i="6"/>
  <c r="AD17" i="6"/>
  <c r="AD16" i="6"/>
  <c r="AD15" i="6"/>
  <c r="AD14" i="6"/>
  <c r="AD13" i="6"/>
  <c r="AD12" i="6"/>
  <c r="AD11" i="6"/>
  <c r="AD10" i="6"/>
  <c r="AD9" i="6"/>
  <c r="AD8" i="6"/>
  <c r="AD7" i="6"/>
  <c r="AD6" i="6"/>
  <c r="AD5" i="6"/>
  <c r="AD4" i="6"/>
  <c r="AD3" i="6"/>
  <c r="Q20" i="8"/>
  <c r="Q21" i="8"/>
  <c r="Q24" i="8"/>
  <c r="AD972" i="5"/>
  <c r="AD971" i="5"/>
  <c r="AD970" i="5"/>
  <c r="AD969" i="5"/>
  <c r="AD968" i="5"/>
  <c r="AD967" i="5"/>
  <c r="AD966" i="5"/>
  <c r="AD965" i="5"/>
  <c r="AD964" i="5"/>
  <c r="AD963" i="5"/>
  <c r="AD962" i="5"/>
  <c r="AD961" i="5"/>
  <c r="AD960" i="5"/>
  <c r="AD959" i="5"/>
  <c r="AD958" i="5"/>
  <c r="AD957" i="5"/>
  <c r="AD956" i="5"/>
  <c r="AD955" i="5"/>
  <c r="AD954" i="5"/>
  <c r="AD953" i="5"/>
  <c r="AD952" i="5"/>
  <c r="AD951" i="5"/>
  <c r="AD950" i="5"/>
  <c r="AD949" i="5"/>
  <c r="AD948" i="5"/>
  <c r="AD947" i="5"/>
  <c r="AD946" i="5"/>
  <c r="AD945" i="5"/>
  <c r="AD944" i="5"/>
  <c r="AD943" i="5"/>
  <c r="AD942" i="5"/>
  <c r="AD941" i="5"/>
  <c r="AD940" i="5"/>
  <c r="AD939" i="5"/>
  <c r="AD938" i="5"/>
  <c r="AD937" i="5"/>
  <c r="AD936" i="5"/>
  <c r="AD935" i="5"/>
  <c r="AD934" i="5"/>
  <c r="AD933" i="5"/>
  <c r="AD932" i="5"/>
  <c r="AD931" i="5"/>
  <c r="AD930" i="5"/>
  <c r="AD929" i="5"/>
  <c r="AD928" i="5"/>
  <c r="AD927" i="5"/>
  <c r="AD926" i="5"/>
  <c r="AD925" i="5"/>
  <c r="AD924" i="5"/>
  <c r="AD923" i="5"/>
  <c r="AD922" i="5"/>
  <c r="AD921" i="5"/>
  <c r="AD920" i="5"/>
  <c r="AD919" i="5"/>
  <c r="AD918" i="5"/>
  <c r="AD917" i="5"/>
  <c r="AD916" i="5"/>
  <c r="AD915" i="5"/>
  <c r="AD914" i="5"/>
  <c r="AD913" i="5"/>
  <c r="AD912" i="5"/>
  <c r="AD911" i="5"/>
  <c r="AD910" i="5"/>
  <c r="AD909" i="5"/>
  <c r="AD908" i="5"/>
  <c r="AD907" i="5"/>
  <c r="AD906" i="5"/>
  <c r="AD905" i="5"/>
  <c r="AD904" i="5"/>
  <c r="AD903" i="5"/>
  <c r="AD902" i="5"/>
  <c r="AD901" i="5"/>
  <c r="AD900" i="5"/>
  <c r="AD899" i="5"/>
  <c r="AD898" i="5"/>
  <c r="AD897" i="5"/>
  <c r="AD896" i="5"/>
  <c r="AD895" i="5"/>
  <c r="AD894" i="5"/>
  <c r="AD893" i="5"/>
  <c r="AD892" i="5"/>
  <c r="AD891" i="5"/>
  <c r="AD890" i="5"/>
  <c r="AD889" i="5"/>
  <c r="AD888" i="5"/>
  <c r="AD887" i="5"/>
  <c r="AD886" i="5"/>
  <c r="AD885" i="5"/>
  <c r="AD884" i="5"/>
  <c r="AD883" i="5"/>
  <c r="AD882" i="5"/>
  <c r="AD881" i="5"/>
  <c r="AD880" i="5"/>
  <c r="AD879" i="5"/>
  <c r="AD878" i="5"/>
  <c r="AD877" i="5"/>
  <c r="AD876" i="5"/>
  <c r="AD875" i="5"/>
  <c r="AD874" i="5"/>
  <c r="AD873" i="5"/>
  <c r="AD872" i="5"/>
  <c r="AD871" i="5"/>
  <c r="AD870" i="5"/>
  <c r="AD869" i="5"/>
  <c r="AD868" i="5"/>
  <c r="AD867" i="5"/>
  <c r="AD866" i="5"/>
  <c r="AD865" i="5"/>
  <c r="AD864" i="5"/>
  <c r="AD863" i="5"/>
  <c r="AD862" i="5"/>
  <c r="AD861" i="5"/>
  <c r="AD860" i="5"/>
  <c r="AD859" i="5"/>
  <c r="AD858" i="5"/>
  <c r="AD857" i="5"/>
  <c r="AD856" i="5"/>
  <c r="AD855" i="5"/>
  <c r="AD854" i="5"/>
  <c r="AD853" i="5"/>
  <c r="AD852" i="5"/>
  <c r="AD851" i="5"/>
  <c r="AD850" i="5"/>
  <c r="AD849" i="5"/>
  <c r="AD848" i="5"/>
  <c r="AD847" i="5"/>
  <c r="AD846" i="5"/>
  <c r="AD845" i="5"/>
  <c r="AD844" i="5"/>
  <c r="AD843" i="5"/>
  <c r="AD842" i="5"/>
  <c r="AD841" i="5"/>
  <c r="AD840" i="5"/>
  <c r="AD839" i="5"/>
  <c r="AD838" i="5"/>
  <c r="AD837" i="5"/>
  <c r="AD836" i="5"/>
  <c r="AD835" i="5"/>
  <c r="AD834" i="5"/>
  <c r="AD833" i="5"/>
  <c r="AD832" i="5"/>
  <c r="AD831" i="5"/>
  <c r="AD830" i="5"/>
  <c r="AD829" i="5"/>
  <c r="AD828" i="5"/>
  <c r="AD827" i="5"/>
  <c r="AD826" i="5"/>
  <c r="AD825" i="5"/>
  <c r="AD824" i="5"/>
  <c r="AD823" i="5"/>
  <c r="AD822" i="5"/>
  <c r="AD821" i="5"/>
  <c r="AD820" i="5"/>
  <c r="AD819" i="5"/>
  <c r="AD818" i="5"/>
  <c r="AD817" i="5"/>
  <c r="AD816" i="5"/>
  <c r="AD815" i="5"/>
  <c r="AD814" i="5"/>
  <c r="AD813" i="5"/>
  <c r="AD812" i="5"/>
  <c r="AD811" i="5"/>
  <c r="AD810" i="5"/>
  <c r="AD809" i="5"/>
  <c r="AD808" i="5"/>
  <c r="AD807" i="5"/>
  <c r="AD806" i="5"/>
  <c r="AD805" i="5"/>
  <c r="AD804" i="5"/>
  <c r="AD803" i="5"/>
  <c r="AD802" i="5"/>
  <c r="AD801" i="5"/>
  <c r="AD800" i="5"/>
  <c r="AD799" i="5"/>
  <c r="AD798" i="5"/>
  <c r="AD797" i="5"/>
  <c r="AD796" i="5"/>
  <c r="AD795" i="5"/>
  <c r="AD794" i="5"/>
  <c r="AD793" i="5"/>
  <c r="AD792" i="5"/>
  <c r="AD791" i="5"/>
  <c r="AD790" i="5"/>
  <c r="AD789" i="5"/>
  <c r="AD788" i="5"/>
  <c r="AD787" i="5"/>
  <c r="AD786" i="5"/>
  <c r="AD785" i="5"/>
  <c r="AD784" i="5"/>
  <c r="AD783" i="5"/>
  <c r="AD782" i="5"/>
  <c r="AD781" i="5"/>
  <c r="AD780" i="5"/>
  <c r="AD779" i="5"/>
  <c r="AD778" i="5"/>
  <c r="AD777" i="5"/>
  <c r="AD776" i="5"/>
  <c r="AD775" i="5"/>
  <c r="AD774" i="5"/>
  <c r="AD773" i="5"/>
  <c r="AD772" i="5"/>
  <c r="AD771" i="5"/>
  <c r="AD770" i="5"/>
  <c r="AD769" i="5"/>
  <c r="AD768" i="5"/>
  <c r="AD767" i="5"/>
  <c r="AD766" i="5"/>
  <c r="AD765" i="5"/>
  <c r="AD764" i="5"/>
  <c r="AD763" i="5"/>
  <c r="AD762" i="5"/>
  <c r="AD761" i="5"/>
  <c r="AD760" i="5"/>
  <c r="AD759" i="5"/>
  <c r="AD758" i="5"/>
  <c r="AD757" i="5"/>
  <c r="AD756" i="5"/>
  <c r="AD755" i="5"/>
  <c r="AD754" i="5"/>
  <c r="AD753" i="5"/>
  <c r="AD752" i="5"/>
  <c r="AD751" i="5"/>
  <c r="AD750" i="5"/>
  <c r="AD749" i="5"/>
  <c r="AD748" i="5"/>
  <c r="AD747" i="5"/>
  <c r="AD746" i="5"/>
  <c r="AD745" i="5"/>
  <c r="AD744" i="5"/>
  <c r="AD743" i="5"/>
  <c r="AD742" i="5"/>
  <c r="AD741" i="5"/>
  <c r="AD740" i="5"/>
  <c r="AD739" i="5"/>
  <c r="AD738" i="5"/>
  <c r="AD737" i="5"/>
  <c r="AD736" i="5"/>
  <c r="AD735" i="5"/>
  <c r="AD734" i="5"/>
  <c r="AD733" i="5"/>
  <c r="AD732" i="5"/>
  <c r="AD731" i="5"/>
  <c r="AD730" i="5"/>
  <c r="AD729" i="5"/>
  <c r="AD728" i="5"/>
  <c r="AD727" i="5"/>
  <c r="AD726" i="5"/>
  <c r="AD725" i="5"/>
  <c r="AD724" i="5"/>
  <c r="AD723" i="5"/>
  <c r="AD722" i="5"/>
  <c r="AD721" i="5"/>
  <c r="AD720" i="5"/>
  <c r="AD719" i="5"/>
  <c r="AD718" i="5"/>
  <c r="AD717" i="5"/>
  <c r="AD716" i="5"/>
  <c r="AD715" i="5"/>
  <c r="AD714" i="5"/>
  <c r="AD713" i="5"/>
  <c r="AD712" i="5"/>
  <c r="AD711" i="5"/>
  <c r="AD710" i="5"/>
  <c r="AD709" i="5"/>
  <c r="AD708" i="5"/>
  <c r="AD707" i="5"/>
  <c r="AD706" i="5"/>
  <c r="AD705" i="5"/>
  <c r="AD704" i="5"/>
  <c r="AD703" i="5"/>
  <c r="AD702" i="5"/>
  <c r="AD701" i="5"/>
  <c r="AD700" i="5"/>
  <c r="AD699" i="5"/>
  <c r="AD698" i="5"/>
  <c r="AD697" i="5"/>
  <c r="AD696" i="5"/>
  <c r="AD695" i="5"/>
  <c r="AD694" i="5"/>
  <c r="AD693" i="5"/>
  <c r="AD692" i="5"/>
  <c r="AD691" i="5"/>
  <c r="AD690" i="5"/>
  <c r="AD689" i="5"/>
  <c r="AD688" i="5"/>
  <c r="AD687" i="5"/>
  <c r="AD686" i="5"/>
  <c r="AD685" i="5"/>
  <c r="AD684" i="5"/>
  <c r="AD683" i="5"/>
  <c r="AD682" i="5"/>
  <c r="AD681" i="5"/>
  <c r="AD680" i="5"/>
  <c r="AD679" i="5"/>
  <c r="AD678" i="5"/>
  <c r="AD677" i="5"/>
  <c r="AD676" i="5"/>
  <c r="AD675" i="5"/>
  <c r="AD674" i="5"/>
  <c r="AD673" i="5"/>
  <c r="AD672" i="5"/>
  <c r="AD671" i="5"/>
  <c r="AD670" i="5"/>
  <c r="AD669" i="5"/>
  <c r="AD668" i="5"/>
  <c r="AD667" i="5"/>
  <c r="AD666" i="5"/>
  <c r="AD665" i="5"/>
  <c r="AD664" i="5"/>
  <c r="AD663" i="5"/>
  <c r="AD662" i="5"/>
  <c r="AD661" i="5"/>
  <c r="AD660" i="5"/>
  <c r="AD659" i="5"/>
  <c r="AD658" i="5"/>
  <c r="AD657" i="5"/>
  <c r="AD656" i="5"/>
  <c r="AD655" i="5"/>
  <c r="AD654" i="5"/>
  <c r="AD653" i="5"/>
  <c r="AD652" i="5"/>
  <c r="AD651" i="5"/>
  <c r="AD650" i="5"/>
  <c r="AD649" i="5"/>
  <c r="AD648" i="5"/>
  <c r="AD647" i="5"/>
  <c r="AD646" i="5"/>
  <c r="AD645" i="5"/>
  <c r="AD644" i="5"/>
  <c r="AD643" i="5"/>
  <c r="AD642" i="5"/>
  <c r="AD641" i="5"/>
  <c r="AD640" i="5"/>
  <c r="AD639" i="5"/>
  <c r="AD638" i="5"/>
  <c r="AD637" i="5"/>
  <c r="AD636" i="5"/>
  <c r="AD635" i="5"/>
  <c r="AD634" i="5"/>
  <c r="AD633" i="5"/>
  <c r="AD632" i="5"/>
  <c r="AD631" i="5"/>
  <c r="AD630" i="5"/>
  <c r="AD629" i="5"/>
  <c r="AD628" i="5"/>
  <c r="AD627" i="5"/>
  <c r="AD626" i="5"/>
  <c r="AD625" i="5"/>
  <c r="AD624" i="5"/>
  <c r="AD623" i="5"/>
  <c r="AD622" i="5"/>
  <c r="AD621" i="5"/>
  <c r="AD620" i="5"/>
  <c r="AD619" i="5"/>
  <c r="AD618" i="5"/>
  <c r="AD617" i="5"/>
  <c r="AD616" i="5"/>
  <c r="AD615" i="5"/>
  <c r="AD614" i="5"/>
  <c r="AD613" i="5"/>
  <c r="AD612" i="5"/>
  <c r="AD611" i="5"/>
  <c r="AD610" i="5"/>
  <c r="AD609" i="5"/>
  <c r="AD608" i="5"/>
  <c r="AD607" i="5"/>
  <c r="AD606" i="5"/>
  <c r="AD605" i="5"/>
  <c r="AD604" i="5"/>
  <c r="AD603" i="5"/>
  <c r="AD602" i="5"/>
  <c r="AD601" i="5"/>
  <c r="AD600" i="5"/>
  <c r="AD599" i="5"/>
  <c r="AD598" i="5"/>
  <c r="AD597" i="5"/>
  <c r="AD596" i="5"/>
  <c r="AD595" i="5"/>
  <c r="AD594" i="5"/>
  <c r="AD593" i="5"/>
  <c r="AD592" i="5"/>
  <c r="AD591" i="5"/>
  <c r="AD590" i="5"/>
  <c r="AD589" i="5"/>
  <c r="AD588" i="5"/>
  <c r="AD587" i="5"/>
  <c r="AD586" i="5"/>
  <c r="AD585" i="5"/>
  <c r="AD584" i="5"/>
  <c r="AD583" i="5"/>
  <c r="AD582" i="5"/>
  <c r="AD581" i="5"/>
  <c r="AD580" i="5"/>
  <c r="AD579" i="5"/>
  <c r="AD578" i="5"/>
  <c r="AD577" i="5"/>
  <c r="AD576" i="5"/>
  <c r="AD575" i="5"/>
  <c r="AD574" i="5"/>
  <c r="AD573" i="5"/>
  <c r="AD572" i="5"/>
  <c r="AD571" i="5"/>
  <c r="AD570" i="5"/>
  <c r="AD569" i="5"/>
  <c r="AD568" i="5"/>
  <c r="AD567" i="5"/>
  <c r="AD566" i="5"/>
  <c r="AD565" i="5"/>
  <c r="AD564" i="5"/>
  <c r="AD563" i="5"/>
  <c r="AD562" i="5"/>
  <c r="AD561" i="5"/>
  <c r="AD560" i="5"/>
  <c r="AD559" i="5"/>
  <c r="AD558" i="5"/>
  <c r="AD557" i="5"/>
  <c r="AD556" i="5"/>
  <c r="AD555" i="5"/>
  <c r="AD554" i="5"/>
  <c r="AD553" i="5"/>
  <c r="AD552" i="5"/>
  <c r="AD551" i="5"/>
  <c r="AD550" i="5"/>
  <c r="AD549" i="5"/>
  <c r="AD548" i="5"/>
  <c r="AD547" i="5"/>
  <c r="AD546" i="5"/>
  <c r="AD545" i="5"/>
  <c r="AD544" i="5"/>
  <c r="AD543" i="5"/>
  <c r="AD542" i="5"/>
  <c r="AD541" i="5"/>
  <c r="AD540" i="5"/>
  <c r="AD539" i="5"/>
  <c r="AD538" i="5"/>
  <c r="AD537" i="5"/>
  <c r="AD536" i="5"/>
  <c r="AD535" i="5"/>
  <c r="AD534" i="5"/>
  <c r="AD533" i="5"/>
  <c r="AD532" i="5"/>
  <c r="AD531" i="5"/>
  <c r="AD530" i="5"/>
  <c r="AD529" i="5"/>
  <c r="AD528" i="5"/>
  <c r="AD527" i="5"/>
  <c r="AD526" i="5"/>
  <c r="AD525" i="5"/>
  <c r="AD524" i="5"/>
  <c r="AD523" i="5"/>
  <c r="AD522" i="5"/>
  <c r="AD521" i="5"/>
  <c r="AD520" i="5"/>
  <c r="AD519" i="5"/>
  <c r="AD518" i="5"/>
  <c r="AD517" i="5"/>
  <c r="AD516" i="5"/>
  <c r="AD515" i="5"/>
  <c r="AD514" i="5"/>
  <c r="AD513" i="5"/>
  <c r="AD512" i="5"/>
  <c r="AD511" i="5"/>
  <c r="AD510" i="5"/>
  <c r="AD509" i="5"/>
  <c r="AD508" i="5"/>
  <c r="AD507" i="5"/>
  <c r="AD506" i="5"/>
  <c r="AD505" i="5"/>
  <c r="AD504" i="5"/>
  <c r="AD503" i="5"/>
  <c r="AD502" i="5"/>
  <c r="AD501" i="5"/>
  <c r="AD500" i="5"/>
  <c r="AD499" i="5"/>
  <c r="AD498" i="5"/>
  <c r="AD497" i="5"/>
  <c r="AD496" i="5"/>
  <c r="AD495" i="5"/>
  <c r="AD494" i="5"/>
  <c r="AD493" i="5"/>
  <c r="AD492" i="5"/>
  <c r="AD491" i="5"/>
  <c r="AD490" i="5"/>
  <c r="AD489" i="5"/>
  <c r="AD488" i="5"/>
  <c r="AD487" i="5"/>
  <c r="AD486" i="5"/>
  <c r="AD485" i="5"/>
  <c r="AD484" i="5"/>
  <c r="AD483" i="5"/>
  <c r="AD482" i="5"/>
  <c r="AD481" i="5"/>
  <c r="AD480" i="5"/>
  <c r="AD479" i="5"/>
  <c r="AD478" i="5"/>
  <c r="AD477" i="5"/>
  <c r="AD476" i="5"/>
  <c r="AD475" i="5"/>
  <c r="AD474" i="5"/>
  <c r="AD473" i="5"/>
  <c r="AD472" i="5"/>
  <c r="AD471" i="5"/>
  <c r="AD470" i="5"/>
  <c r="AD469" i="5"/>
  <c r="AD468" i="5"/>
  <c r="AD467" i="5"/>
  <c r="AD466" i="5"/>
  <c r="AD465" i="5"/>
  <c r="AD464" i="5"/>
  <c r="AD463" i="5"/>
  <c r="AD462" i="5"/>
  <c r="AD461" i="5"/>
  <c r="AD460" i="5"/>
  <c r="AD459" i="5"/>
  <c r="AD458" i="5"/>
  <c r="AD457" i="5"/>
  <c r="AD456" i="5"/>
  <c r="AD455" i="5"/>
  <c r="AD454" i="5"/>
  <c r="AD453" i="5"/>
  <c r="AD452" i="5"/>
  <c r="AD451" i="5"/>
  <c r="AD450" i="5"/>
  <c r="AD449" i="5"/>
  <c r="AD448" i="5"/>
  <c r="AD447" i="5"/>
  <c r="AD446" i="5"/>
  <c r="AD445" i="5"/>
  <c r="AD444" i="5"/>
  <c r="AD443" i="5"/>
  <c r="AD442" i="5"/>
  <c r="AD441" i="5"/>
  <c r="AD440" i="5"/>
  <c r="AD439" i="5"/>
  <c r="AD438" i="5"/>
  <c r="AD437" i="5"/>
  <c r="AD436" i="5"/>
  <c r="AD435" i="5"/>
  <c r="AD434" i="5"/>
  <c r="AD433" i="5"/>
  <c r="AD432" i="5"/>
  <c r="AD431" i="5"/>
  <c r="AD430" i="5"/>
  <c r="AD429" i="5"/>
  <c r="AD428" i="5"/>
  <c r="AD427" i="5"/>
  <c r="AD426" i="5"/>
  <c r="AD425" i="5"/>
  <c r="AD424" i="5"/>
  <c r="AD423" i="5"/>
  <c r="AD422" i="5"/>
  <c r="AD421" i="5"/>
  <c r="AD420" i="5"/>
  <c r="AD419" i="5"/>
  <c r="AD418" i="5"/>
  <c r="AD417" i="5"/>
  <c r="AD416" i="5"/>
  <c r="AD415" i="5"/>
  <c r="AD414" i="5"/>
  <c r="AD413" i="5"/>
  <c r="AD412" i="5"/>
  <c r="AD411" i="5"/>
  <c r="AD410" i="5"/>
  <c r="AD409" i="5"/>
  <c r="AD408" i="5"/>
  <c r="AD407" i="5"/>
  <c r="AD406" i="5"/>
  <c r="AD405" i="5"/>
  <c r="AD404" i="5"/>
  <c r="AD403" i="5"/>
  <c r="AD402" i="5"/>
  <c r="AD401" i="5"/>
  <c r="AD400" i="5"/>
  <c r="AD399" i="5"/>
  <c r="AD398" i="5"/>
  <c r="AD397" i="5"/>
  <c r="AD396" i="5"/>
  <c r="AD395" i="5"/>
  <c r="AD394" i="5"/>
  <c r="AD393" i="5"/>
  <c r="AD392" i="5"/>
  <c r="AD391" i="5"/>
  <c r="AD390" i="5"/>
  <c r="AD389" i="5"/>
  <c r="AD388" i="5"/>
  <c r="AD387" i="5"/>
  <c r="AD386" i="5"/>
  <c r="AD385" i="5"/>
  <c r="AD384" i="5"/>
  <c r="AD383" i="5"/>
  <c r="AD382" i="5"/>
  <c r="AD381" i="5"/>
  <c r="AD380" i="5"/>
  <c r="AD379" i="5"/>
  <c r="AD378" i="5"/>
  <c r="AD377" i="5"/>
  <c r="AD376" i="5"/>
  <c r="AD375" i="5"/>
  <c r="AD374" i="5"/>
  <c r="AD373" i="5"/>
  <c r="AD372" i="5"/>
  <c r="AD371" i="5"/>
  <c r="AD370" i="5"/>
  <c r="AD369" i="5"/>
  <c r="AD368" i="5"/>
  <c r="AD367" i="5"/>
  <c r="AD366" i="5"/>
  <c r="AD365" i="5"/>
  <c r="AD364" i="5"/>
  <c r="AD363" i="5"/>
  <c r="AD362" i="5"/>
  <c r="AD361" i="5"/>
  <c r="AD360" i="5"/>
  <c r="AD359" i="5"/>
  <c r="AD358" i="5"/>
  <c r="AD357" i="5"/>
  <c r="AD356" i="5"/>
  <c r="AD355" i="5"/>
  <c r="AD354" i="5"/>
  <c r="AD353" i="5"/>
  <c r="AD352" i="5"/>
  <c r="AD351" i="5"/>
  <c r="AD350" i="5"/>
  <c r="AD349" i="5"/>
  <c r="AD348" i="5"/>
  <c r="AD347" i="5"/>
  <c r="AD346" i="5"/>
  <c r="AD345" i="5"/>
  <c r="AD344" i="5"/>
  <c r="AD343" i="5"/>
  <c r="AD342" i="5"/>
  <c r="AD341" i="5"/>
  <c r="AD340" i="5"/>
  <c r="AD339" i="5"/>
  <c r="AD338" i="5"/>
  <c r="AD337" i="5"/>
  <c r="AD336" i="5"/>
  <c r="AD335" i="5"/>
  <c r="AD334" i="5"/>
  <c r="AD333" i="5"/>
  <c r="AD332" i="5"/>
  <c r="AD331" i="5"/>
  <c r="AD330" i="5"/>
  <c r="AD329" i="5"/>
  <c r="AD328" i="5"/>
  <c r="AD327" i="5"/>
  <c r="AD326" i="5"/>
  <c r="AD325" i="5"/>
  <c r="AD324" i="5"/>
  <c r="AD323" i="5"/>
  <c r="AD322" i="5"/>
  <c r="AD321" i="5"/>
  <c r="AD320" i="5"/>
  <c r="AD319" i="5"/>
  <c r="AD318" i="5"/>
  <c r="AD317" i="5"/>
  <c r="AD316" i="5"/>
  <c r="AD315" i="5"/>
  <c r="AD314" i="5"/>
  <c r="AD313" i="5"/>
  <c r="AD312" i="5"/>
  <c r="AD311" i="5"/>
  <c r="AD310" i="5"/>
  <c r="AD309" i="5"/>
  <c r="AD308" i="5"/>
  <c r="AD307" i="5"/>
  <c r="AD306" i="5"/>
  <c r="AD305" i="5"/>
  <c r="AD304" i="5"/>
  <c r="AD303" i="5"/>
  <c r="AD302" i="5"/>
  <c r="AD301" i="5"/>
  <c r="AD300" i="5"/>
  <c r="AD299" i="5"/>
  <c r="AD298" i="5"/>
  <c r="AD297" i="5"/>
  <c r="AD296" i="5"/>
  <c r="AD295" i="5"/>
  <c r="AD294" i="5"/>
  <c r="AD293" i="5"/>
  <c r="AD292" i="5"/>
  <c r="AD291" i="5"/>
  <c r="AD290" i="5"/>
  <c r="AD289" i="5"/>
  <c r="AD288" i="5"/>
  <c r="AD287" i="5"/>
  <c r="AD286" i="5"/>
  <c r="AD285" i="5"/>
  <c r="AD284" i="5"/>
  <c r="AD283" i="5"/>
  <c r="AD282" i="5"/>
  <c r="AD281" i="5"/>
  <c r="AD280" i="5"/>
  <c r="AD279" i="5"/>
  <c r="AD278" i="5"/>
  <c r="AD277" i="5"/>
  <c r="AD276" i="5"/>
  <c r="AD275" i="5"/>
  <c r="AD274" i="5"/>
  <c r="AD273" i="5"/>
  <c r="AD272" i="5"/>
  <c r="AD271" i="5"/>
  <c r="AD270" i="5"/>
  <c r="AD269" i="5"/>
  <c r="AD268" i="5"/>
  <c r="AD267" i="5"/>
  <c r="AD266" i="5"/>
  <c r="AD265" i="5"/>
  <c r="AD264" i="5"/>
  <c r="AD263" i="5"/>
  <c r="AD262" i="5"/>
  <c r="AD261" i="5"/>
  <c r="AD260" i="5"/>
  <c r="AD259" i="5"/>
  <c r="AD258" i="5"/>
  <c r="AD257" i="5"/>
  <c r="AD256" i="5"/>
  <c r="AD255" i="5"/>
  <c r="AD254" i="5"/>
  <c r="AD253" i="5"/>
  <c r="AD252" i="5"/>
  <c r="AD251" i="5"/>
  <c r="AD250" i="5"/>
  <c r="AD249" i="5"/>
  <c r="AD248" i="5"/>
  <c r="AD247" i="5"/>
  <c r="AD246" i="5"/>
  <c r="AD245" i="5"/>
  <c r="AD244" i="5"/>
  <c r="AD243" i="5"/>
  <c r="AD242" i="5"/>
  <c r="AD241" i="5"/>
  <c r="AD240" i="5"/>
  <c r="AD239" i="5"/>
  <c r="AD238" i="5"/>
  <c r="AD237" i="5"/>
  <c r="AD236" i="5"/>
  <c r="AD235" i="5"/>
  <c r="AD234" i="5"/>
  <c r="AD233" i="5"/>
  <c r="AD232" i="5"/>
  <c r="AD231" i="5"/>
  <c r="AD230" i="5"/>
  <c r="AD229" i="5"/>
  <c r="AD228" i="5"/>
  <c r="AD227" i="5"/>
  <c r="AD226" i="5"/>
  <c r="AD225" i="5"/>
  <c r="AD224" i="5"/>
  <c r="AD223" i="5"/>
  <c r="AD222" i="5"/>
  <c r="AD221" i="5"/>
  <c r="AD220" i="5"/>
  <c r="AD219" i="5"/>
  <c r="AD218" i="5"/>
  <c r="AD217" i="5"/>
  <c r="AD216" i="5"/>
  <c r="AD215" i="5"/>
  <c r="AD214" i="5"/>
  <c r="AD213" i="5"/>
  <c r="AD212" i="5"/>
  <c r="AD211" i="5"/>
  <c r="AD210" i="5"/>
  <c r="AD209" i="5"/>
  <c r="AD208" i="5"/>
  <c r="AD207" i="5"/>
  <c r="AD206" i="5"/>
  <c r="AD205" i="5"/>
  <c r="AD204" i="5"/>
  <c r="AD203" i="5"/>
  <c r="AD202" i="5"/>
  <c r="AD201" i="5"/>
  <c r="AD200" i="5"/>
  <c r="AD199" i="5"/>
  <c r="AD198" i="5"/>
  <c r="AD197" i="5"/>
  <c r="AD196" i="5"/>
  <c r="AD195" i="5"/>
  <c r="AD194" i="5"/>
  <c r="AD193" i="5"/>
  <c r="AD192" i="5"/>
  <c r="AD191" i="5"/>
  <c r="AD190" i="5"/>
  <c r="AD189" i="5"/>
  <c r="AD188" i="5"/>
  <c r="AD187" i="5"/>
  <c r="AD186" i="5"/>
  <c r="AD185" i="5"/>
  <c r="AD184" i="5"/>
  <c r="AD183" i="5"/>
  <c r="AD182" i="5"/>
  <c r="AD181" i="5"/>
  <c r="AD180" i="5"/>
  <c r="AD179" i="5"/>
  <c r="AD178" i="5"/>
  <c r="AD177" i="5"/>
  <c r="AD176" i="5"/>
  <c r="AD175" i="5"/>
  <c r="AD174" i="5"/>
  <c r="AD173" i="5"/>
  <c r="AD172" i="5"/>
  <c r="AD171" i="5"/>
  <c r="AD170" i="5"/>
  <c r="AD169" i="5"/>
  <c r="AD168" i="5"/>
  <c r="AD167" i="5"/>
  <c r="AD166" i="5"/>
  <c r="AD165" i="5"/>
  <c r="AD164" i="5"/>
  <c r="AD163" i="5"/>
  <c r="AD162" i="5"/>
  <c r="AD161" i="5"/>
  <c r="AD160" i="5"/>
  <c r="AD159" i="5"/>
  <c r="AD158" i="5"/>
  <c r="AD157" i="5"/>
  <c r="AD156" i="5"/>
  <c r="AD155" i="5"/>
  <c r="AD154" i="5"/>
  <c r="AD153" i="5"/>
  <c r="AD152" i="5"/>
  <c r="AD151" i="5"/>
  <c r="AD150" i="5"/>
  <c r="AD149" i="5"/>
  <c r="AD148" i="5"/>
  <c r="AD147" i="5"/>
  <c r="AD146" i="5"/>
  <c r="AD145" i="5"/>
  <c r="AD144" i="5"/>
  <c r="AD143" i="5"/>
  <c r="AD142" i="5"/>
  <c r="AD141" i="5"/>
  <c r="AD140" i="5"/>
  <c r="AD139" i="5"/>
  <c r="AD138" i="5"/>
  <c r="AD137" i="5"/>
  <c r="AD136" i="5"/>
  <c r="AD135" i="5"/>
  <c r="AD134" i="5"/>
  <c r="AD133" i="5"/>
  <c r="AD132" i="5"/>
  <c r="AD131" i="5"/>
  <c r="AD130" i="5"/>
  <c r="AD129" i="5"/>
  <c r="AD128" i="5"/>
  <c r="AD127" i="5"/>
  <c r="AD126" i="5"/>
  <c r="AD125" i="5"/>
  <c r="AD124" i="5"/>
  <c r="AD123" i="5"/>
  <c r="AD122" i="5"/>
  <c r="AD121" i="5"/>
  <c r="AD120" i="5"/>
  <c r="AD119" i="5"/>
  <c r="AD118" i="5"/>
  <c r="AD117" i="5"/>
  <c r="AD116" i="5"/>
  <c r="AD115" i="5"/>
  <c r="AD114" i="5"/>
  <c r="AD113" i="5"/>
  <c r="AD112" i="5"/>
  <c r="AD111" i="5"/>
  <c r="AD110" i="5"/>
  <c r="AD109" i="5"/>
  <c r="AD108" i="5"/>
  <c r="AD107" i="5"/>
  <c r="AD106" i="5"/>
  <c r="AD105" i="5"/>
  <c r="AD104" i="5"/>
  <c r="AD103" i="5"/>
  <c r="AD102" i="5"/>
  <c r="AD101" i="5"/>
  <c r="AD100" i="5"/>
  <c r="AD99" i="5"/>
  <c r="AD98" i="5"/>
  <c r="AD97" i="5"/>
  <c r="AD96" i="5"/>
  <c r="AD95" i="5"/>
  <c r="AD94" i="5"/>
  <c r="AD93" i="5"/>
  <c r="AD92" i="5"/>
  <c r="AD91" i="5"/>
  <c r="AD90" i="5"/>
  <c r="AD89" i="5"/>
  <c r="AD88" i="5"/>
  <c r="AD87" i="5"/>
  <c r="AD86" i="5"/>
  <c r="AD85" i="5"/>
  <c r="AD84" i="5"/>
  <c r="AD83" i="5"/>
  <c r="AD82" i="5"/>
  <c r="AD81" i="5"/>
  <c r="AD80" i="5"/>
  <c r="AD79" i="5"/>
  <c r="AD78" i="5"/>
  <c r="AD77" i="5"/>
  <c r="AD76" i="5"/>
  <c r="AD75" i="5"/>
  <c r="AD74" i="5"/>
  <c r="AD73" i="5"/>
  <c r="AD72" i="5"/>
  <c r="AD71" i="5"/>
  <c r="AD70" i="5"/>
  <c r="AD69" i="5"/>
  <c r="AD68" i="5"/>
  <c r="AD67" i="5"/>
  <c r="AD66" i="5"/>
  <c r="AD65" i="5"/>
  <c r="AD64" i="5"/>
  <c r="AD63" i="5"/>
  <c r="AD62" i="5"/>
  <c r="AD61" i="5"/>
  <c r="AD60" i="5"/>
  <c r="AD59" i="5"/>
  <c r="AD58" i="5"/>
  <c r="AD57" i="5"/>
  <c r="AD56" i="5"/>
  <c r="AD55" i="5"/>
  <c r="AD54" i="5"/>
  <c r="AD53" i="5"/>
  <c r="AD52" i="5"/>
  <c r="AD51" i="5"/>
  <c r="AD50" i="5"/>
  <c r="AD49" i="5"/>
  <c r="AD48" i="5"/>
  <c r="AD47" i="5"/>
  <c r="AD46" i="5"/>
  <c r="AD45" i="5"/>
  <c r="AD44" i="5"/>
  <c r="AD43" i="5"/>
  <c r="AD42" i="5"/>
  <c r="AD41" i="5"/>
  <c r="AD40" i="5"/>
  <c r="AD39" i="5"/>
  <c r="AD38" i="5"/>
  <c r="AD37" i="5"/>
  <c r="AD36" i="5"/>
  <c r="AD35" i="5"/>
  <c r="AD34" i="5"/>
  <c r="AD33" i="5"/>
  <c r="AD32" i="5"/>
  <c r="AD31" i="5"/>
  <c r="AD30" i="5"/>
  <c r="AD29" i="5"/>
  <c r="AD28" i="5"/>
  <c r="AD27" i="5"/>
  <c r="AD26" i="5"/>
  <c r="AD25" i="5"/>
  <c r="AD24" i="5"/>
  <c r="AD23" i="5"/>
  <c r="AD22" i="5"/>
  <c r="AD21" i="5"/>
  <c r="AD20" i="5"/>
  <c r="AD19" i="5"/>
  <c r="AD18" i="5"/>
  <c r="AD17" i="5"/>
  <c r="AD16" i="5"/>
  <c r="AD15" i="5"/>
  <c r="AD14" i="5"/>
  <c r="AD13" i="5"/>
  <c r="AD12" i="5"/>
  <c r="AD11" i="5"/>
  <c r="AD10" i="5"/>
  <c r="AD9" i="5"/>
  <c r="AD8" i="5"/>
  <c r="AD7" i="5"/>
  <c r="AD6" i="5"/>
  <c r="AD5" i="5"/>
  <c r="AD4" i="5"/>
  <c r="AD3" i="5"/>
  <c r="Q19" i="8" l="1"/>
  <c r="Q25" i="8"/>
  <c r="Q23" i="8"/>
  <c r="Q24" i="7"/>
  <c r="Q21" i="7"/>
  <c r="Q26" i="7" s="1"/>
  <c r="Q26" i="8" l="1"/>
  <c r="N10" i="7" l="1"/>
  <c r="H921" i="6"/>
  <c r="I921" i="6"/>
  <c r="H922" i="6"/>
  <c r="I922" i="6"/>
  <c r="H923" i="6"/>
  <c r="I923" i="6"/>
  <c r="H924" i="6"/>
  <c r="I924" i="6"/>
  <c r="H925" i="6"/>
  <c r="I925" i="6"/>
  <c r="H926" i="6"/>
  <c r="I926" i="6"/>
  <c r="H927" i="6"/>
  <c r="I927" i="6"/>
  <c r="H928" i="6"/>
  <c r="I928" i="6"/>
  <c r="H929" i="6"/>
  <c r="I929" i="6"/>
  <c r="H930" i="6"/>
  <c r="I930" i="6"/>
  <c r="H931" i="6"/>
  <c r="I931" i="6"/>
  <c r="H932" i="6"/>
  <c r="I932" i="6"/>
  <c r="H933" i="6"/>
  <c r="I933" i="6"/>
  <c r="H934" i="6"/>
  <c r="I934" i="6"/>
  <c r="H935" i="6"/>
  <c r="I935" i="6"/>
  <c r="H936" i="6"/>
  <c r="I936" i="6"/>
  <c r="H937" i="6"/>
  <c r="I937" i="6"/>
  <c r="H938" i="6"/>
  <c r="I938" i="6"/>
  <c r="H939" i="6"/>
  <c r="I939" i="6"/>
  <c r="H940" i="6"/>
  <c r="I940" i="6"/>
  <c r="H941" i="6"/>
  <c r="I941" i="6"/>
  <c r="H942" i="6"/>
  <c r="I942" i="6"/>
  <c r="H943" i="6"/>
  <c r="I943" i="6"/>
  <c r="H944" i="6"/>
  <c r="I944" i="6"/>
  <c r="H945" i="6"/>
  <c r="I945" i="6"/>
  <c r="H946" i="6"/>
  <c r="I946" i="6"/>
  <c r="H947" i="6"/>
  <c r="I947" i="6"/>
  <c r="H948" i="6"/>
  <c r="I948" i="6"/>
  <c r="H949" i="6"/>
  <c r="I949" i="6"/>
  <c r="H950" i="6"/>
  <c r="I950" i="6"/>
  <c r="H951" i="6"/>
  <c r="I951" i="6"/>
  <c r="H952" i="6"/>
  <c r="I952" i="6"/>
  <c r="H953" i="6"/>
  <c r="I953" i="6"/>
  <c r="H954" i="6"/>
  <c r="I954" i="6"/>
  <c r="H955" i="6"/>
  <c r="I955" i="6"/>
  <c r="H956" i="6"/>
  <c r="I956" i="6"/>
  <c r="H957" i="6"/>
  <c r="I957" i="6"/>
  <c r="H958" i="6"/>
  <c r="I958" i="6"/>
  <c r="H959" i="6"/>
  <c r="I959" i="6"/>
  <c r="H960" i="6"/>
  <c r="I960" i="6"/>
  <c r="H961" i="6"/>
  <c r="I961" i="6"/>
  <c r="H962" i="6"/>
  <c r="I962" i="6"/>
  <c r="H963" i="6"/>
  <c r="I963" i="6"/>
  <c r="H964" i="6"/>
  <c r="I964" i="6"/>
  <c r="H965" i="6"/>
  <c r="I965" i="6"/>
  <c r="H966" i="6"/>
  <c r="I966" i="6"/>
  <c r="H967" i="6"/>
  <c r="I967" i="6"/>
  <c r="H968" i="6"/>
  <c r="I968" i="6"/>
  <c r="H969" i="6"/>
  <c r="I969" i="6"/>
  <c r="H970" i="6"/>
  <c r="I970" i="6"/>
  <c r="H971" i="6"/>
  <c r="I971" i="6"/>
  <c r="H972" i="6"/>
  <c r="I972" i="6"/>
  <c r="H973" i="6"/>
  <c r="I973" i="6"/>
  <c r="H974" i="6"/>
  <c r="I974" i="6"/>
  <c r="H975" i="6"/>
  <c r="I975" i="6"/>
  <c r="H976" i="6"/>
  <c r="I976" i="6"/>
  <c r="H977" i="6"/>
  <c r="I977" i="6"/>
  <c r="H978" i="6"/>
  <c r="I978" i="6"/>
  <c r="H979" i="6"/>
  <c r="I979" i="6"/>
  <c r="H980" i="6"/>
  <c r="I980" i="6"/>
  <c r="H981" i="6"/>
  <c r="I981" i="6"/>
  <c r="H982" i="6"/>
  <c r="I982" i="6"/>
  <c r="H983" i="6"/>
  <c r="I983" i="6"/>
  <c r="H984" i="6"/>
  <c r="I984" i="6"/>
  <c r="H985" i="6"/>
  <c r="I985" i="6"/>
  <c r="H986" i="6"/>
  <c r="I986" i="6"/>
  <c r="H987" i="6"/>
  <c r="I987" i="6"/>
  <c r="H988" i="6"/>
  <c r="I988" i="6"/>
  <c r="H989" i="6"/>
  <c r="H990" i="6"/>
  <c r="H991" i="6"/>
  <c r="H992" i="6"/>
  <c r="I992" i="6"/>
  <c r="H993" i="6"/>
  <c r="I993" i="6"/>
  <c r="H994" i="6"/>
  <c r="H995" i="6"/>
  <c r="H996" i="6"/>
  <c r="H997" i="6"/>
  <c r="H998" i="6"/>
  <c r="I998" i="6"/>
  <c r="H999" i="6"/>
  <c r="I999" i="6"/>
  <c r="H1000" i="6"/>
  <c r="H1001" i="6"/>
  <c r="H1002" i="6"/>
  <c r="H1003" i="6"/>
  <c r="H1004" i="6"/>
  <c r="H1005" i="6"/>
  <c r="H1006" i="6"/>
  <c r="H1007" i="6"/>
  <c r="H1008" i="6"/>
  <c r="H1009" i="6"/>
  <c r="H1010" i="6"/>
  <c r="H1011" i="6"/>
  <c r="H1012" i="6"/>
  <c r="I1012" i="6"/>
  <c r="H1013" i="6"/>
  <c r="I1013" i="6"/>
  <c r="H1014" i="6"/>
  <c r="I1014" i="6"/>
  <c r="H1015" i="6"/>
  <c r="I1015" i="6"/>
  <c r="H1016" i="6"/>
  <c r="I1016" i="6"/>
  <c r="H1017" i="6"/>
  <c r="I1017" i="6"/>
  <c r="H1018" i="6"/>
  <c r="I1018" i="6"/>
  <c r="H1019" i="6"/>
  <c r="I1019" i="6"/>
  <c r="H1020" i="6"/>
  <c r="I1020" i="6"/>
  <c r="H1021" i="6"/>
  <c r="I1021" i="6"/>
  <c r="H1022" i="6"/>
  <c r="I1022" i="6"/>
  <c r="H1023" i="6"/>
  <c r="I1023" i="6"/>
  <c r="H1024" i="6"/>
  <c r="I1024" i="6"/>
  <c r="H1025" i="6"/>
  <c r="I1025" i="6"/>
  <c r="H1026" i="6"/>
  <c r="I1026" i="6"/>
  <c r="H1027" i="6"/>
  <c r="I1027" i="6"/>
  <c r="H1028" i="6"/>
  <c r="I1028" i="6"/>
  <c r="H1029" i="6"/>
  <c r="I1029" i="6"/>
  <c r="H1030" i="6"/>
  <c r="I1030" i="6"/>
  <c r="H1031" i="6"/>
  <c r="I1031" i="6"/>
  <c r="H1032" i="6"/>
  <c r="I1032" i="6"/>
  <c r="H1033" i="6"/>
  <c r="I1033" i="6"/>
  <c r="H1034" i="6"/>
  <c r="I1034" i="6"/>
  <c r="H1035" i="6"/>
  <c r="I1035" i="6"/>
  <c r="H1036" i="6"/>
  <c r="I1036" i="6"/>
  <c r="H1037" i="6"/>
  <c r="I1037" i="6"/>
  <c r="H1038" i="6"/>
  <c r="I1038" i="6"/>
  <c r="H1039" i="6"/>
  <c r="I1039" i="6"/>
  <c r="H1040" i="6"/>
  <c r="I1040" i="6"/>
  <c r="H1041" i="6"/>
  <c r="I1041" i="6"/>
  <c r="H1042" i="6"/>
  <c r="I1042" i="6"/>
  <c r="H1043" i="6"/>
  <c r="I1043" i="6"/>
  <c r="H1044" i="6"/>
  <c r="I1044" i="6"/>
  <c r="H1045" i="6"/>
  <c r="I1045" i="6"/>
  <c r="H1046" i="6"/>
  <c r="I1046" i="6"/>
  <c r="H1047" i="6"/>
  <c r="I1047" i="6"/>
  <c r="H1048" i="6"/>
  <c r="I1048" i="6"/>
  <c r="H1049" i="6"/>
  <c r="I1049" i="6"/>
  <c r="H1050" i="6"/>
  <c r="I1050" i="6"/>
  <c r="H1051" i="6"/>
  <c r="I1051" i="6"/>
  <c r="H1052" i="6"/>
  <c r="I1052" i="6"/>
  <c r="H1053" i="6"/>
  <c r="I1053" i="6"/>
  <c r="H1054" i="6"/>
  <c r="I1054" i="6"/>
  <c r="H1055" i="6"/>
  <c r="I1055" i="6"/>
  <c r="H1056" i="6"/>
  <c r="I1056" i="6"/>
  <c r="H1057" i="6"/>
  <c r="I1057" i="6"/>
  <c r="H1058" i="6"/>
  <c r="I1058" i="6"/>
  <c r="H1059" i="6"/>
  <c r="I1059" i="6"/>
  <c r="H1060" i="6"/>
  <c r="I1060" i="6"/>
  <c r="H1061" i="6"/>
  <c r="I1061" i="6"/>
  <c r="H1062" i="6"/>
  <c r="I1062" i="6"/>
  <c r="H1063" i="6"/>
  <c r="I1063" i="6"/>
  <c r="H1064" i="6"/>
  <c r="I1064" i="6"/>
  <c r="H1065" i="6"/>
  <c r="I1065" i="6"/>
  <c r="H1066" i="6"/>
  <c r="I1066" i="6"/>
  <c r="H1067" i="6"/>
  <c r="I1067" i="6"/>
  <c r="H1068" i="6"/>
  <c r="I1068" i="6"/>
  <c r="H1069" i="6"/>
  <c r="I1069" i="6"/>
  <c r="H1070" i="6"/>
  <c r="I1070" i="6"/>
  <c r="H1071" i="6"/>
  <c r="I1071" i="6"/>
  <c r="H1072" i="6"/>
  <c r="I1072" i="6"/>
  <c r="H1073" i="6"/>
  <c r="I1073" i="6"/>
  <c r="H1074" i="6"/>
  <c r="I1074" i="6"/>
  <c r="H1075" i="6"/>
  <c r="I1075" i="6"/>
  <c r="H1076" i="6"/>
  <c r="I1076" i="6"/>
  <c r="H1077" i="6"/>
  <c r="I1077" i="6"/>
  <c r="H1078" i="6"/>
  <c r="I1078" i="6"/>
  <c r="H1079" i="6"/>
  <c r="I1079" i="6"/>
  <c r="H1080" i="6"/>
  <c r="I1080" i="6"/>
  <c r="H1081" i="6"/>
  <c r="I1081" i="6"/>
  <c r="H1082" i="6"/>
  <c r="I1082" i="6"/>
  <c r="H1083" i="6"/>
  <c r="I1083" i="6"/>
  <c r="H1084" i="6"/>
  <c r="I1084" i="6"/>
  <c r="H1085" i="6"/>
  <c r="I1085" i="6"/>
  <c r="H1086" i="6"/>
  <c r="I1086" i="6"/>
  <c r="H1087" i="6"/>
  <c r="I1087" i="6"/>
  <c r="H1088" i="6"/>
  <c r="I1088" i="6"/>
  <c r="H1089" i="6"/>
  <c r="I1089" i="6"/>
  <c r="H1090" i="6"/>
  <c r="I1090" i="6"/>
  <c r="H1091" i="6"/>
  <c r="I1091" i="6"/>
  <c r="H1092" i="6"/>
  <c r="I1092" i="6"/>
  <c r="H1093" i="6"/>
  <c r="I1093" i="6"/>
  <c r="H1094" i="6"/>
  <c r="I1094" i="6"/>
  <c r="H1095" i="6"/>
  <c r="I1095" i="6"/>
  <c r="H1096" i="6"/>
  <c r="I1096" i="6"/>
  <c r="H1097" i="6"/>
  <c r="I1097" i="6"/>
  <c r="H1098" i="6"/>
  <c r="I1098" i="6"/>
  <c r="H1099" i="6"/>
  <c r="I1099" i="6"/>
  <c r="H1100" i="6"/>
  <c r="I1100" i="6"/>
  <c r="H1101" i="6"/>
  <c r="I1101" i="6"/>
  <c r="H1102" i="6"/>
  <c r="I1102" i="6"/>
  <c r="H1103" i="6"/>
  <c r="I1103" i="6"/>
  <c r="H1104" i="6"/>
  <c r="I1104" i="6"/>
  <c r="H1105" i="6"/>
  <c r="I1105" i="6"/>
  <c r="H1106" i="6"/>
  <c r="I1106" i="6"/>
  <c r="H1107" i="6"/>
  <c r="I1107" i="6"/>
  <c r="H1108" i="6"/>
  <c r="I1108" i="6"/>
  <c r="H1109" i="6"/>
  <c r="I1109" i="6"/>
  <c r="H1110" i="6"/>
  <c r="I1110" i="6"/>
  <c r="H1111" i="6"/>
  <c r="I1111" i="6"/>
  <c r="H1112" i="6"/>
  <c r="I1112" i="6"/>
  <c r="H1113" i="6"/>
  <c r="I1113" i="6"/>
  <c r="H1114" i="6"/>
  <c r="I1114" i="6"/>
  <c r="H1115" i="6"/>
  <c r="I1115" i="6"/>
  <c r="H1116" i="6"/>
  <c r="I1116" i="6"/>
  <c r="H1117" i="6"/>
  <c r="I1117" i="6"/>
  <c r="H1118" i="6"/>
  <c r="I1118" i="6"/>
  <c r="H1119" i="6"/>
  <c r="I1119" i="6"/>
  <c r="H1120" i="6"/>
  <c r="I1120" i="6"/>
  <c r="H1121" i="6"/>
  <c r="I1121" i="6"/>
  <c r="H1122" i="6"/>
  <c r="I1122" i="6"/>
  <c r="H1123" i="6"/>
  <c r="I1123" i="6"/>
  <c r="H1124" i="6"/>
  <c r="I1124" i="6"/>
  <c r="H1125" i="6"/>
  <c r="I1125" i="6"/>
  <c r="H1126" i="6"/>
  <c r="I1126" i="6"/>
  <c r="H1127" i="6"/>
  <c r="I1127" i="6"/>
  <c r="H1128" i="6"/>
  <c r="I1128" i="6"/>
  <c r="H1129" i="6"/>
  <c r="I1129" i="6"/>
  <c r="H1130" i="6"/>
  <c r="I1130" i="6"/>
  <c r="H1131" i="6"/>
  <c r="I1131" i="6"/>
  <c r="H1132" i="6"/>
  <c r="I1132" i="6"/>
  <c r="H1133" i="6"/>
  <c r="I1133" i="6"/>
  <c r="H1134" i="6"/>
  <c r="I1134" i="6"/>
  <c r="H1135" i="6"/>
  <c r="I1135" i="6"/>
  <c r="H1136" i="6"/>
  <c r="I1136" i="6"/>
  <c r="H1137" i="6"/>
  <c r="I1137" i="6"/>
  <c r="H1138" i="6"/>
  <c r="I1138" i="6"/>
  <c r="H1139" i="6"/>
  <c r="I1139" i="6"/>
  <c r="H1140" i="6"/>
  <c r="I1140" i="6"/>
  <c r="H1141" i="6"/>
  <c r="I1141" i="6"/>
  <c r="H1142" i="6"/>
  <c r="I1142" i="6"/>
  <c r="H1143" i="6"/>
  <c r="I1143" i="6"/>
  <c r="H1144" i="6"/>
  <c r="I1144" i="6"/>
  <c r="H1145" i="6"/>
  <c r="I1145" i="6"/>
  <c r="H1146" i="6"/>
  <c r="I1146" i="6"/>
  <c r="H1147" i="6"/>
  <c r="I1147" i="6"/>
  <c r="H1148" i="6"/>
  <c r="I1148" i="6"/>
  <c r="H1149" i="6"/>
  <c r="I1149" i="6"/>
  <c r="H1150" i="6"/>
  <c r="I1150" i="6"/>
  <c r="H1151" i="6"/>
  <c r="I1151" i="6"/>
  <c r="H1152" i="6"/>
  <c r="I1152" i="6"/>
  <c r="H1153" i="6"/>
  <c r="I1153" i="6"/>
  <c r="H1154" i="6"/>
  <c r="I1154" i="6"/>
  <c r="H1155" i="6"/>
  <c r="I1155" i="6"/>
  <c r="H1156" i="6"/>
  <c r="I1156" i="6"/>
  <c r="H1157" i="6"/>
  <c r="I1157" i="6"/>
  <c r="H1158" i="6"/>
  <c r="I1158" i="6"/>
  <c r="H1159" i="6"/>
  <c r="I1159" i="6"/>
  <c r="H1160" i="6"/>
  <c r="I1160" i="6"/>
  <c r="H1161" i="6"/>
  <c r="I1161" i="6"/>
  <c r="H1162" i="6"/>
  <c r="I1162" i="6"/>
  <c r="H1163" i="6"/>
  <c r="I1163" i="6"/>
  <c r="H1164" i="6"/>
  <c r="I1164" i="6"/>
  <c r="H1165" i="6"/>
  <c r="I1165" i="6"/>
  <c r="H1166" i="6"/>
  <c r="I1166" i="6"/>
  <c r="H1167" i="6"/>
  <c r="I1167" i="6"/>
  <c r="H1168" i="6"/>
  <c r="I1168" i="6"/>
  <c r="H1169" i="6"/>
  <c r="I1169" i="6"/>
  <c r="H1170" i="6"/>
  <c r="I1170" i="6"/>
  <c r="H1171" i="6"/>
  <c r="I1171" i="6"/>
  <c r="H1172" i="6"/>
  <c r="I1172" i="6"/>
  <c r="H1173" i="6"/>
  <c r="I1173" i="6"/>
  <c r="H1174" i="6"/>
  <c r="I1174" i="6"/>
  <c r="H1175" i="6"/>
  <c r="I1175" i="6"/>
  <c r="H1176" i="6"/>
  <c r="I1176" i="6"/>
  <c r="H1177" i="6"/>
  <c r="I1177" i="6"/>
  <c r="H1178" i="6"/>
  <c r="I1178" i="6"/>
  <c r="H1179" i="6"/>
  <c r="I1179" i="6"/>
  <c r="H1180" i="6"/>
  <c r="I1180" i="6"/>
  <c r="H1181" i="6"/>
  <c r="I1181" i="6"/>
  <c r="H1182" i="6"/>
  <c r="I1182" i="6"/>
  <c r="H1183" i="6"/>
  <c r="I1183" i="6"/>
  <c r="H1184" i="6"/>
  <c r="I1184" i="6"/>
  <c r="H1185" i="6"/>
  <c r="I1185" i="6"/>
  <c r="H1186" i="6"/>
  <c r="I1186" i="6"/>
  <c r="H1187" i="6"/>
  <c r="I1187" i="6"/>
  <c r="H1188" i="6"/>
  <c r="I1188" i="6"/>
  <c r="H1189" i="6"/>
  <c r="I1189" i="6"/>
  <c r="H1190" i="6"/>
  <c r="I1190" i="6"/>
  <c r="H1191" i="6"/>
  <c r="I1191" i="6"/>
  <c r="H1192" i="6"/>
  <c r="I1192" i="6"/>
  <c r="H1193" i="6"/>
  <c r="I1193" i="6"/>
  <c r="H1194" i="6"/>
  <c r="I1194" i="6"/>
  <c r="H1195" i="6"/>
  <c r="I1195" i="6"/>
  <c r="H1196" i="6"/>
  <c r="I1196" i="6"/>
  <c r="H1197" i="6"/>
  <c r="I1197" i="6"/>
  <c r="H1198" i="6"/>
  <c r="I1198" i="6"/>
  <c r="H1199" i="6"/>
  <c r="I1199" i="6"/>
  <c r="H1200" i="6"/>
  <c r="I1200" i="6"/>
  <c r="H1201" i="6"/>
  <c r="I1201" i="6"/>
  <c r="H1202" i="6"/>
  <c r="I1202" i="6"/>
  <c r="H1203" i="6"/>
  <c r="I1203" i="6"/>
  <c r="H1204" i="6"/>
  <c r="I1204" i="6"/>
  <c r="H1205" i="6"/>
  <c r="I1205" i="6"/>
  <c r="H1206" i="6"/>
  <c r="I1206" i="6"/>
  <c r="H1207" i="6"/>
  <c r="I1207" i="6"/>
  <c r="H1208" i="6"/>
  <c r="I1208" i="6"/>
  <c r="H1209" i="6"/>
  <c r="I1209" i="6"/>
  <c r="H1210" i="6"/>
  <c r="I1210" i="6"/>
  <c r="H1211" i="6"/>
  <c r="I1211" i="6"/>
  <c r="H1212" i="6"/>
  <c r="I1212" i="6"/>
  <c r="H1213" i="6"/>
  <c r="I1213" i="6"/>
  <c r="H1214" i="6"/>
  <c r="I1214" i="6"/>
  <c r="H1215" i="6"/>
  <c r="I1215" i="6"/>
  <c r="H1216" i="6"/>
  <c r="I1216" i="6"/>
  <c r="H1217" i="6"/>
  <c r="I1217" i="6"/>
  <c r="H1218" i="6"/>
  <c r="I1218" i="6"/>
  <c r="H1219" i="6"/>
  <c r="I1219" i="6"/>
  <c r="H1220" i="6"/>
  <c r="I1220" i="6"/>
  <c r="H1221" i="6"/>
  <c r="I1221" i="6"/>
  <c r="H1222" i="6"/>
  <c r="I1222" i="6"/>
  <c r="H1223" i="6"/>
  <c r="I1223" i="6"/>
  <c r="H1224" i="6"/>
  <c r="I1224" i="6"/>
  <c r="H1225" i="6"/>
  <c r="I1225" i="6"/>
  <c r="H1226" i="6"/>
  <c r="I1226" i="6"/>
  <c r="H1227" i="6"/>
  <c r="I1227" i="6"/>
  <c r="H1228" i="6"/>
  <c r="I1228" i="6"/>
  <c r="H1229" i="6"/>
  <c r="I1229" i="6"/>
  <c r="H1230" i="6"/>
  <c r="I1230" i="6"/>
  <c r="H1231" i="6"/>
  <c r="I1231" i="6"/>
  <c r="H1232" i="6"/>
  <c r="I1232" i="6"/>
  <c r="H1233" i="6"/>
  <c r="I1233" i="6"/>
  <c r="H1234" i="6"/>
  <c r="I1234" i="6"/>
  <c r="H1235" i="6"/>
  <c r="I1235" i="6"/>
  <c r="H1236" i="6"/>
  <c r="I1236" i="6"/>
  <c r="H1237" i="6"/>
  <c r="I1237" i="6"/>
  <c r="H1238" i="6"/>
  <c r="I1238" i="6"/>
  <c r="H1239" i="6"/>
  <c r="I1239" i="6"/>
  <c r="H1240" i="6"/>
  <c r="I1240" i="6"/>
  <c r="H1241" i="6"/>
  <c r="I1241" i="6"/>
  <c r="H1242" i="6"/>
  <c r="I1242" i="6"/>
  <c r="H1243" i="6"/>
  <c r="I1243" i="6"/>
  <c r="H1244" i="6"/>
  <c r="I1244" i="6"/>
  <c r="H1245" i="6"/>
  <c r="I1245" i="6"/>
  <c r="H1246" i="6"/>
  <c r="I1246" i="6"/>
  <c r="H1247" i="6"/>
  <c r="I1247" i="6"/>
  <c r="H1248" i="6"/>
  <c r="I1248" i="6"/>
  <c r="H1249" i="6"/>
  <c r="I1249" i="6"/>
  <c r="H1250" i="6"/>
  <c r="I1250" i="6"/>
  <c r="H1251" i="6"/>
  <c r="I1251" i="6"/>
  <c r="H1252" i="6"/>
  <c r="I1252" i="6"/>
  <c r="H1253" i="6"/>
  <c r="I1253" i="6"/>
  <c r="H1254" i="6"/>
  <c r="I1254" i="6"/>
  <c r="H1255" i="6"/>
  <c r="I1255" i="6"/>
  <c r="H1256" i="6"/>
  <c r="I1256" i="6"/>
  <c r="H1257" i="6"/>
  <c r="I1257" i="6"/>
  <c r="H1258" i="6"/>
  <c r="I1258" i="6"/>
  <c r="H1259" i="6"/>
  <c r="I1259" i="6"/>
  <c r="H1260" i="6"/>
  <c r="I1260" i="6"/>
  <c r="H1261" i="6"/>
  <c r="I1261" i="6"/>
  <c r="H1262" i="6"/>
  <c r="I1262" i="6"/>
  <c r="H1263" i="6"/>
  <c r="I1263" i="6"/>
  <c r="H1264" i="6"/>
  <c r="I1264" i="6"/>
  <c r="H1265" i="6"/>
  <c r="I1265" i="6"/>
  <c r="H1266" i="6"/>
  <c r="I1266" i="6"/>
  <c r="H1267" i="6"/>
  <c r="I1267" i="6"/>
  <c r="H1268" i="6"/>
  <c r="I1268" i="6"/>
  <c r="H1269" i="6"/>
  <c r="I1269" i="6"/>
  <c r="H1270" i="6"/>
  <c r="I1270" i="6"/>
  <c r="H1271" i="6"/>
  <c r="I1271" i="6"/>
  <c r="H1272" i="6"/>
  <c r="I1272" i="6"/>
  <c r="H1273" i="6"/>
  <c r="I1273" i="6"/>
  <c r="H1274" i="6"/>
  <c r="I1274" i="6"/>
  <c r="H1275" i="6"/>
  <c r="I1275" i="6"/>
  <c r="H1276" i="6"/>
  <c r="I1276" i="6"/>
  <c r="H1277" i="6"/>
  <c r="I1277" i="6"/>
  <c r="H1278" i="6"/>
  <c r="I1278" i="6"/>
  <c r="H1279" i="6"/>
  <c r="I1279" i="6"/>
  <c r="H1280" i="6"/>
  <c r="I1280" i="6"/>
  <c r="H1281" i="6"/>
  <c r="I1281" i="6"/>
  <c r="H1282" i="6"/>
  <c r="I1282" i="6"/>
  <c r="H1283" i="6"/>
  <c r="I1283" i="6"/>
  <c r="H1284" i="6"/>
  <c r="I1284" i="6"/>
  <c r="H1285" i="6"/>
  <c r="I1285" i="6"/>
  <c r="H1286" i="6"/>
  <c r="I1286" i="6"/>
  <c r="H1287" i="6"/>
  <c r="I1287" i="6"/>
  <c r="H1288" i="6"/>
  <c r="I1288" i="6"/>
  <c r="H1289" i="6"/>
  <c r="I1289" i="6"/>
  <c r="H1290" i="6"/>
  <c r="I1290" i="6"/>
  <c r="H1291" i="6"/>
  <c r="I1291" i="6"/>
  <c r="H1292" i="6"/>
  <c r="I1292" i="6"/>
  <c r="H1293" i="6"/>
  <c r="I1293" i="6"/>
  <c r="H1294" i="6"/>
  <c r="I1294" i="6"/>
  <c r="H1295" i="6"/>
  <c r="I1295" i="6"/>
  <c r="H1296" i="6"/>
  <c r="I1296" i="6"/>
  <c r="H1297" i="6"/>
  <c r="I1297" i="6"/>
  <c r="H1298" i="6"/>
  <c r="I1298" i="6"/>
  <c r="H1299" i="6"/>
  <c r="I1299" i="6"/>
  <c r="H1300" i="6"/>
  <c r="I1300" i="6"/>
  <c r="H1301" i="6"/>
  <c r="I1301" i="6"/>
  <c r="H1302" i="6"/>
  <c r="I1302" i="6"/>
  <c r="H1303" i="6"/>
  <c r="I1303" i="6"/>
  <c r="H1304" i="6"/>
  <c r="I1304" i="6"/>
  <c r="H1305" i="6"/>
  <c r="I1305" i="6"/>
  <c r="H1306" i="6"/>
  <c r="I1306" i="6"/>
  <c r="H1307" i="6"/>
  <c r="I1307" i="6"/>
  <c r="H1308" i="6"/>
  <c r="I1308" i="6"/>
  <c r="H1309" i="6"/>
  <c r="I1309" i="6"/>
  <c r="H1310" i="6"/>
  <c r="I1310" i="6"/>
  <c r="H1311" i="6"/>
  <c r="I1311" i="6"/>
  <c r="H1312" i="6"/>
  <c r="I1312" i="6"/>
  <c r="H1313" i="6"/>
  <c r="I1313" i="6"/>
  <c r="H1314" i="6"/>
  <c r="I1314" i="6"/>
  <c r="H1315" i="6"/>
  <c r="I1315" i="6"/>
  <c r="H1316" i="6"/>
  <c r="I1316" i="6"/>
  <c r="H1317" i="6"/>
  <c r="I1317" i="6"/>
  <c r="H1318" i="6"/>
  <c r="I1318" i="6"/>
  <c r="H1319" i="6"/>
  <c r="I1319" i="6"/>
  <c r="H1320" i="6"/>
  <c r="I1320" i="6"/>
  <c r="H1321" i="6"/>
  <c r="I1321" i="6"/>
  <c r="H1322" i="6"/>
  <c r="I1322" i="6"/>
  <c r="H1323" i="6"/>
  <c r="I1323" i="6"/>
  <c r="H1324" i="6"/>
  <c r="I1324" i="6"/>
  <c r="H1325" i="6"/>
  <c r="I1325" i="6"/>
  <c r="H1326" i="6"/>
  <c r="I1326" i="6"/>
  <c r="H1327" i="6"/>
  <c r="I1327" i="6"/>
  <c r="H1328" i="6"/>
  <c r="I1328" i="6"/>
  <c r="H1329" i="6"/>
  <c r="I1329" i="6"/>
  <c r="H1330" i="6"/>
  <c r="I1330" i="6"/>
  <c r="H1331" i="6"/>
  <c r="I1331" i="6"/>
  <c r="H1332" i="6"/>
  <c r="I1332" i="6"/>
  <c r="H1333" i="6"/>
  <c r="I1333" i="6"/>
  <c r="H1334" i="6"/>
  <c r="I1334" i="6"/>
  <c r="H1335" i="6"/>
  <c r="I1335" i="6"/>
  <c r="H1336" i="6"/>
  <c r="I1336" i="6"/>
  <c r="H1337" i="6"/>
  <c r="I1337" i="6"/>
  <c r="H1338" i="6"/>
  <c r="I1338" i="6"/>
  <c r="H1339" i="6"/>
  <c r="I1339" i="6"/>
  <c r="H1340" i="6"/>
  <c r="I1340" i="6"/>
  <c r="H1341" i="6"/>
  <c r="I1341" i="6"/>
  <c r="H1342" i="6"/>
  <c r="I1342" i="6"/>
  <c r="H1343" i="6"/>
  <c r="I1343" i="6"/>
  <c r="H1344" i="6"/>
  <c r="I1344" i="6"/>
  <c r="H1345" i="6"/>
  <c r="I1345" i="6"/>
  <c r="H1346" i="6"/>
  <c r="I1346" i="6"/>
  <c r="H1347" i="6"/>
  <c r="I1347" i="6"/>
  <c r="H1348" i="6"/>
  <c r="I1348" i="6"/>
  <c r="H1349" i="6"/>
  <c r="I1349" i="6"/>
  <c r="H1350" i="6"/>
  <c r="I1350" i="6"/>
  <c r="H1351" i="6"/>
  <c r="I1351" i="6"/>
  <c r="H1352" i="6"/>
  <c r="I1352" i="6"/>
  <c r="H1353" i="6"/>
  <c r="I1353" i="6"/>
  <c r="H1354" i="6"/>
  <c r="I1354" i="6"/>
  <c r="H1355" i="6"/>
  <c r="I1355" i="6"/>
  <c r="H1356" i="6"/>
  <c r="I1356" i="6"/>
  <c r="H1357" i="6"/>
  <c r="I1357" i="6"/>
  <c r="H1358" i="6"/>
  <c r="I1358" i="6"/>
  <c r="H1359" i="6"/>
  <c r="I1359" i="6"/>
  <c r="H1360" i="6"/>
  <c r="I1360" i="6"/>
  <c r="H1361" i="6"/>
  <c r="I1361" i="6"/>
  <c r="H1362" i="6"/>
  <c r="I1362" i="6"/>
  <c r="H1363" i="6"/>
  <c r="I1363" i="6"/>
  <c r="H1364" i="6"/>
  <c r="I1364" i="6"/>
  <c r="H1365" i="6"/>
  <c r="I1365" i="6"/>
  <c r="H1366" i="6"/>
  <c r="I1366" i="6"/>
  <c r="H1367" i="6"/>
  <c r="I1367" i="6"/>
  <c r="H1368" i="6"/>
  <c r="I1368" i="6"/>
  <c r="H1369" i="6"/>
  <c r="I1369" i="6"/>
  <c r="H1370" i="6"/>
  <c r="I1370" i="6"/>
  <c r="H1371" i="6"/>
  <c r="I1371" i="6"/>
  <c r="H1372" i="6"/>
  <c r="I1372" i="6"/>
  <c r="H1373" i="6"/>
  <c r="I1373" i="6"/>
  <c r="H1374" i="6"/>
  <c r="I1374" i="6"/>
  <c r="H1375" i="6"/>
  <c r="I1375" i="6"/>
  <c r="H1376" i="6"/>
  <c r="I1376" i="6"/>
  <c r="H1377" i="6"/>
  <c r="I1377" i="6"/>
  <c r="H1378" i="6"/>
  <c r="I1378" i="6"/>
  <c r="H1379" i="6"/>
  <c r="I1379" i="6"/>
  <c r="H1380" i="6"/>
  <c r="I1380" i="6"/>
  <c r="H1381" i="6"/>
  <c r="I1381" i="6"/>
  <c r="H1382" i="6"/>
  <c r="I1382" i="6"/>
  <c r="H1383" i="6"/>
  <c r="I1383" i="6"/>
  <c r="H1384" i="6"/>
  <c r="I1384" i="6"/>
  <c r="H1385" i="6"/>
  <c r="I1385" i="6"/>
  <c r="H1386" i="6"/>
  <c r="I1386" i="6"/>
  <c r="H1387" i="6"/>
  <c r="I1387" i="6"/>
  <c r="H1388" i="6"/>
  <c r="I1388" i="6"/>
  <c r="H1389" i="6"/>
  <c r="I1389" i="6"/>
  <c r="H1390" i="6"/>
  <c r="I1390" i="6"/>
  <c r="H1391" i="6"/>
  <c r="I1391" i="6"/>
  <c r="H1392" i="6"/>
  <c r="I1392" i="6"/>
  <c r="H1393" i="6"/>
  <c r="I1393" i="6"/>
  <c r="H1394" i="6"/>
  <c r="I1394" i="6"/>
  <c r="H1395" i="6"/>
  <c r="I1395" i="6"/>
  <c r="H1396" i="6"/>
  <c r="I1396" i="6"/>
  <c r="H1397" i="6"/>
  <c r="I1397" i="6"/>
  <c r="H1398" i="6"/>
  <c r="I1398" i="6"/>
  <c r="H1399" i="6"/>
  <c r="I1399" i="6"/>
  <c r="H1400" i="6"/>
  <c r="I1400" i="6"/>
  <c r="H1401" i="6"/>
  <c r="I1401" i="6"/>
  <c r="H1402" i="6"/>
  <c r="I1402" i="6"/>
  <c r="H1403" i="6"/>
  <c r="I1403" i="6"/>
  <c r="H1404" i="6"/>
  <c r="I1404" i="6"/>
  <c r="H1405" i="6"/>
  <c r="I1405" i="6"/>
  <c r="H1406" i="6"/>
  <c r="I1406" i="6"/>
  <c r="H1407" i="6"/>
  <c r="I1407" i="6"/>
  <c r="H1408" i="6"/>
  <c r="I1408" i="6"/>
  <c r="H1409" i="6"/>
  <c r="I1409" i="6"/>
  <c r="H1410" i="6"/>
  <c r="I1410" i="6"/>
  <c r="H1411" i="6"/>
  <c r="I1411" i="6"/>
  <c r="H1412" i="6"/>
  <c r="I1412" i="6"/>
  <c r="H1413" i="6"/>
  <c r="I1413" i="6"/>
  <c r="H1414" i="6"/>
  <c r="I1414" i="6"/>
  <c r="H1415" i="6"/>
  <c r="I1415" i="6"/>
  <c r="H1416" i="6"/>
  <c r="I1416" i="6"/>
  <c r="H1417" i="6"/>
  <c r="I1417" i="6"/>
  <c r="H1418" i="6"/>
  <c r="I1418" i="6"/>
  <c r="H1419" i="6"/>
  <c r="I1419" i="6"/>
  <c r="H1420" i="6"/>
  <c r="I1420" i="6"/>
  <c r="H1421" i="6"/>
  <c r="I1421" i="6"/>
  <c r="H1422" i="6"/>
  <c r="I1422" i="6"/>
  <c r="H1423" i="6"/>
  <c r="I1423" i="6"/>
  <c r="H1424" i="6"/>
  <c r="I1424" i="6"/>
  <c r="H1425" i="6"/>
  <c r="I1425" i="6"/>
  <c r="H1426" i="6"/>
  <c r="I1426" i="6"/>
  <c r="H1427" i="6"/>
  <c r="I1427" i="6"/>
  <c r="H1428" i="6"/>
  <c r="I1428" i="6"/>
  <c r="H1429" i="6"/>
  <c r="I1429" i="6"/>
  <c r="H1430" i="6"/>
  <c r="I1430" i="6"/>
  <c r="H1431" i="6"/>
  <c r="I1431" i="6"/>
  <c r="H1432" i="6"/>
  <c r="I1432" i="6"/>
  <c r="H1433" i="6"/>
  <c r="I1433" i="6"/>
  <c r="H1434" i="6"/>
  <c r="I1434" i="6"/>
  <c r="H1435" i="6"/>
  <c r="I1435" i="6"/>
  <c r="H1436" i="6"/>
  <c r="I1436" i="6"/>
  <c r="H1437" i="6"/>
  <c r="I1437" i="6"/>
  <c r="H1438" i="6"/>
  <c r="I1438" i="6"/>
  <c r="H1439" i="6"/>
  <c r="I1439" i="6"/>
  <c r="H1440" i="6"/>
  <c r="I1440" i="6"/>
  <c r="H1441" i="6"/>
  <c r="I1441" i="6"/>
  <c r="H1442" i="6"/>
  <c r="I1442" i="6"/>
  <c r="H1443" i="6"/>
  <c r="I1443" i="6"/>
  <c r="H1444" i="6"/>
  <c r="I1444" i="6"/>
  <c r="H1445" i="6"/>
  <c r="I1445" i="6"/>
  <c r="H1446" i="6"/>
  <c r="I1446" i="6"/>
  <c r="H1447" i="6"/>
  <c r="I1447" i="6"/>
  <c r="H1448" i="6"/>
  <c r="I1448" i="6"/>
  <c r="H1449" i="6"/>
  <c r="I1449" i="6"/>
  <c r="H1450" i="6"/>
  <c r="I1450" i="6"/>
  <c r="H914" i="6"/>
  <c r="I914" i="6"/>
  <c r="H915" i="6"/>
  <c r="I915" i="6"/>
  <c r="H916" i="6"/>
  <c r="I916" i="6"/>
  <c r="H917" i="6"/>
  <c r="I917" i="6"/>
  <c r="H918" i="6"/>
  <c r="I918" i="6"/>
  <c r="H919" i="6"/>
  <c r="I919" i="6"/>
  <c r="H920" i="6"/>
  <c r="I920" i="6"/>
  <c r="F944" i="6" a="1"/>
  <c r="F944" i="6" s="1"/>
  <c r="F945" i="6" a="1"/>
  <c r="F945" i="6" s="1"/>
  <c r="F946" i="6" a="1"/>
  <c r="F946" i="6" s="1"/>
  <c r="F947" i="6" a="1"/>
  <c r="F947" i="6" s="1"/>
  <c r="F948" i="6" a="1"/>
  <c r="F948" i="6" s="1"/>
  <c r="F949" i="6" a="1"/>
  <c r="F949" i="6" s="1"/>
  <c r="F950" i="6" a="1"/>
  <c r="F950" i="6" s="1"/>
  <c r="F951" i="6" a="1"/>
  <c r="F951" i="6"/>
  <c r="F952" i="6" a="1"/>
  <c r="F952" i="6" s="1"/>
  <c r="F953" i="6" a="1"/>
  <c r="F953" i="6" s="1"/>
  <c r="F954" i="6" a="1"/>
  <c r="F954" i="6" s="1"/>
  <c r="F955" i="6" a="1"/>
  <c r="F955" i="6" s="1"/>
  <c r="F956" i="6" a="1"/>
  <c r="F956" i="6" s="1"/>
  <c r="F957" i="6" a="1"/>
  <c r="F957" i="6" s="1"/>
  <c r="F958" i="6" a="1"/>
  <c r="F958" i="6" s="1"/>
  <c r="F959" i="6" a="1"/>
  <c r="F959" i="6" s="1"/>
  <c r="F960" i="6" a="1"/>
  <c r="F960" i="6" s="1"/>
  <c r="F961" i="6" a="1"/>
  <c r="F961" i="6" s="1"/>
  <c r="F962" i="6" a="1"/>
  <c r="F962" i="6" s="1"/>
  <c r="F963" i="6" a="1"/>
  <c r="F963" i="6" s="1"/>
  <c r="F964" i="6" a="1"/>
  <c r="F964" i="6" s="1"/>
  <c r="F965" i="6" a="1"/>
  <c r="F965" i="6" s="1"/>
  <c r="F966" i="6" a="1"/>
  <c r="F966" i="6" s="1"/>
  <c r="F967" i="6" a="1"/>
  <c r="F967" i="6" s="1"/>
  <c r="F968" i="6" a="1"/>
  <c r="F968" i="6" s="1"/>
  <c r="F969" i="6" a="1"/>
  <c r="F969" i="6" s="1"/>
  <c r="F970" i="6" a="1"/>
  <c r="F970" i="6" s="1"/>
  <c r="F971" i="6" a="1"/>
  <c r="F971" i="6" s="1"/>
  <c r="F972" i="6" a="1"/>
  <c r="F972" i="6" s="1"/>
  <c r="F973" i="6" a="1"/>
  <c r="F973" i="6" s="1"/>
  <c r="F974" i="6" a="1"/>
  <c r="F974" i="6" s="1"/>
  <c r="F975" i="6" a="1"/>
  <c r="F975" i="6" s="1"/>
  <c r="F976" i="6" a="1"/>
  <c r="F976" i="6" s="1"/>
  <c r="F977" i="6" a="1"/>
  <c r="F977" i="6" s="1"/>
  <c r="F978" i="6" a="1"/>
  <c r="F978" i="6" s="1"/>
  <c r="F979" i="6" a="1"/>
  <c r="F979" i="6" s="1"/>
  <c r="F980" i="6" a="1"/>
  <c r="F980" i="6" s="1"/>
  <c r="F981" i="6" a="1"/>
  <c r="F981" i="6" s="1"/>
  <c r="F982" i="6" a="1"/>
  <c r="F982" i="6" s="1"/>
  <c r="F983" i="6" a="1"/>
  <c r="F983" i="6" s="1"/>
  <c r="F984" i="6" a="1"/>
  <c r="F984" i="6" s="1"/>
  <c r="F985" i="6" a="1"/>
  <c r="F985" i="6" s="1"/>
  <c r="F986" i="6" a="1"/>
  <c r="F986" i="6" s="1"/>
  <c r="F987" i="6" a="1"/>
  <c r="F987" i="6" s="1"/>
  <c r="F988" i="6" a="1"/>
  <c r="F988" i="6" s="1"/>
  <c r="F989" i="6" a="1"/>
  <c r="F989" i="6" s="1"/>
  <c r="I989" i="6" s="1"/>
  <c r="F990" i="6" a="1"/>
  <c r="F990" i="6" s="1"/>
  <c r="I990" i="6" s="1"/>
  <c r="F991" i="6" a="1"/>
  <c r="F991" i="6" s="1"/>
  <c r="I991" i="6" s="1"/>
  <c r="F992" i="6" a="1"/>
  <c r="F992" i="6" s="1"/>
  <c r="F993" i="6" a="1"/>
  <c r="F993" i="6" s="1"/>
  <c r="F994" i="6" a="1"/>
  <c r="F994" i="6" s="1"/>
  <c r="I994" i="6" s="1"/>
  <c r="F995" i="6" a="1"/>
  <c r="F995" i="6" s="1"/>
  <c r="I995" i="6" s="1"/>
  <c r="F996" i="6" a="1"/>
  <c r="F996" i="6" s="1"/>
  <c r="I996" i="6" s="1"/>
  <c r="F997" i="6" a="1"/>
  <c r="F997" i="6" s="1"/>
  <c r="I997" i="6" s="1"/>
  <c r="F998" i="6" a="1"/>
  <c r="F998" i="6"/>
  <c r="F999" i="6" a="1"/>
  <c r="F999" i="6"/>
  <c r="F1000" i="6" a="1"/>
  <c r="F1000" i="6" s="1"/>
  <c r="I1000" i="6" s="1"/>
  <c r="F1001" i="6" a="1"/>
  <c r="F1001" i="6" s="1"/>
  <c r="I1001" i="6" s="1"/>
  <c r="F1002" i="6" a="1"/>
  <c r="F1002" i="6" s="1"/>
  <c r="I1002" i="6" s="1"/>
  <c r="F1003" i="6" a="1"/>
  <c r="F1003" i="6" s="1"/>
  <c r="I1003" i="6" s="1"/>
  <c r="F1004" i="6" a="1"/>
  <c r="F1004" i="6" s="1"/>
  <c r="I1004" i="6" s="1"/>
  <c r="F1005" i="6" a="1"/>
  <c r="F1005" i="6" s="1"/>
  <c r="I1005" i="6" s="1"/>
  <c r="F1006" i="6" a="1"/>
  <c r="F1006" i="6" s="1"/>
  <c r="I1006" i="6" s="1"/>
  <c r="F1007" i="6" a="1"/>
  <c r="F1007" i="6" s="1"/>
  <c r="I1007" i="6" s="1"/>
  <c r="F1008" i="6" a="1"/>
  <c r="F1008" i="6" s="1"/>
  <c r="I1008" i="6" s="1"/>
  <c r="F1009" i="6" a="1"/>
  <c r="F1009" i="6" s="1"/>
  <c r="I1009" i="6" s="1"/>
  <c r="F1010" i="6" a="1"/>
  <c r="F1010" i="6" s="1"/>
  <c r="I1010" i="6" s="1"/>
  <c r="F1011" i="6" a="1"/>
  <c r="F1011" i="6" s="1"/>
  <c r="I1011" i="6" s="1"/>
  <c r="F1012" i="6" a="1"/>
  <c r="F1012" i="6" s="1"/>
  <c r="F1013" i="6" a="1"/>
  <c r="F1013" i="6"/>
  <c r="F1014" i="6" a="1"/>
  <c r="F1014" i="6"/>
  <c r="F1015" i="6" a="1"/>
  <c r="F1015" i="6"/>
  <c r="F1016" i="6" a="1"/>
  <c r="F1016" i="6" s="1"/>
  <c r="F1017" i="6" a="1"/>
  <c r="F1017" i="6" s="1"/>
  <c r="F1018" i="6" a="1"/>
  <c r="F1018" i="6" s="1"/>
  <c r="F1019" i="6" a="1"/>
  <c r="F1019" i="6" s="1"/>
  <c r="F1020" i="6" a="1"/>
  <c r="F1020" i="6" s="1"/>
  <c r="F1021" i="6" a="1"/>
  <c r="F1021" i="6"/>
  <c r="F1022" i="6" a="1"/>
  <c r="F1022" i="6"/>
  <c r="F1023" i="6" a="1"/>
  <c r="F1023" i="6"/>
  <c r="F1024" i="6" a="1"/>
  <c r="F1024" i="6" s="1"/>
  <c r="F1025" i="6" a="1"/>
  <c r="F1025" i="6" s="1"/>
  <c r="F1026" i="6" a="1"/>
  <c r="F1026" i="6" s="1"/>
  <c r="F1027" i="6" a="1"/>
  <c r="F1027" i="6" s="1"/>
  <c r="F1028" i="6" a="1"/>
  <c r="F1028" i="6" s="1"/>
  <c r="F1029" i="6" a="1"/>
  <c r="F1029" i="6"/>
  <c r="F1030" i="6" a="1"/>
  <c r="F1030" i="6"/>
  <c r="F1031" i="6" a="1"/>
  <c r="F1031" i="6"/>
  <c r="F1032" i="6" a="1"/>
  <c r="F1032" i="6" s="1"/>
  <c r="F1033" i="6" a="1"/>
  <c r="F1033" i="6"/>
  <c r="F1034" i="6" a="1"/>
  <c r="F1034" i="6" s="1"/>
  <c r="F1035" i="6" a="1"/>
  <c r="F1035" i="6" s="1"/>
  <c r="F1036" i="6" a="1"/>
  <c r="F1036" i="6" s="1"/>
  <c r="F1037" i="6" a="1"/>
  <c r="F1037" i="6"/>
  <c r="F1038" i="6" a="1"/>
  <c r="F1038" i="6"/>
  <c r="F1039" i="6" a="1"/>
  <c r="F1039" i="6"/>
  <c r="F1040" i="6" a="1"/>
  <c r="F1040" i="6" s="1"/>
  <c r="F1041" i="6" a="1"/>
  <c r="F1041" i="6" s="1"/>
  <c r="F1042" i="6" a="1"/>
  <c r="F1042" i="6"/>
  <c r="F1043" i="6" a="1"/>
  <c r="F1043" i="6" s="1"/>
  <c r="F1044" i="6" a="1"/>
  <c r="F1044" i="6" s="1"/>
  <c r="F1045" i="6" a="1"/>
  <c r="F1045" i="6"/>
  <c r="F1046" i="6" a="1"/>
  <c r="F1046" i="6"/>
  <c r="F1047" i="6" a="1"/>
  <c r="F1047" i="6"/>
  <c r="F1048" i="6" a="1"/>
  <c r="F1048" i="6" s="1"/>
  <c r="F1049" i="6" a="1"/>
  <c r="F1049" i="6" s="1"/>
  <c r="F1050" i="6" a="1"/>
  <c r="F1050" i="6" s="1"/>
  <c r="F1051" i="6" a="1"/>
  <c r="F1051" i="6"/>
  <c r="F1052" i="6" a="1"/>
  <c r="F1052" i="6" s="1"/>
  <c r="F1053" i="6" a="1"/>
  <c r="F1053" i="6"/>
  <c r="F1054" i="6" a="1"/>
  <c r="F1054" i="6"/>
  <c r="F1055" i="6" a="1"/>
  <c r="F1055" i="6"/>
  <c r="F1056" i="6" a="1"/>
  <c r="F1056" i="6" s="1"/>
  <c r="F1057" i="6" a="1"/>
  <c r="F1057" i="6" s="1"/>
  <c r="F1058" i="6" a="1"/>
  <c r="F1058" i="6" s="1"/>
  <c r="F1059" i="6" a="1"/>
  <c r="F1059" i="6" s="1"/>
  <c r="F1060" i="6" a="1"/>
  <c r="F1060" i="6" s="1"/>
  <c r="F1061" i="6" a="1"/>
  <c r="F1061" i="6"/>
  <c r="F1062" i="6" a="1"/>
  <c r="F1062" i="6"/>
  <c r="F1063" i="6" a="1"/>
  <c r="F1063" i="6"/>
  <c r="F1064" i="6" a="1"/>
  <c r="F1064" i="6" s="1"/>
  <c r="F1065" i="6" a="1"/>
  <c r="F1065" i="6"/>
  <c r="F1066" i="6" a="1"/>
  <c r="F1066" i="6" s="1"/>
  <c r="F1067" i="6" a="1"/>
  <c r="F1067" i="6" s="1"/>
  <c r="F1068" i="6" a="1"/>
  <c r="F1068" i="6" s="1"/>
  <c r="F1069" i="6" a="1"/>
  <c r="F1069" i="6"/>
  <c r="F1070" i="6" a="1"/>
  <c r="F1070" i="6"/>
  <c r="F1071" i="6" a="1"/>
  <c r="F1071" i="6"/>
  <c r="F1072" i="6" a="1"/>
  <c r="F1072" i="6" s="1"/>
  <c r="F1073" i="6" a="1"/>
  <c r="F1073" i="6" s="1"/>
  <c r="F1074" i="6" a="1"/>
  <c r="F1074" i="6" s="1"/>
  <c r="F1075" i="6" a="1"/>
  <c r="F1075" i="6" s="1"/>
  <c r="F1076" i="6" a="1"/>
  <c r="F1076" i="6" s="1"/>
  <c r="F1077" i="6" a="1"/>
  <c r="F1077" i="6"/>
  <c r="F1078" i="6" a="1"/>
  <c r="F1078" i="6"/>
  <c r="F1079" i="6" a="1"/>
  <c r="F1079" i="6"/>
  <c r="F1080" i="6" a="1"/>
  <c r="F1080" i="6" s="1"/>
  <c r="F1081" i="6" a="1"/>
  <c r="F1081" i="6" s="1"/>
  <c r="F1082" i="6" a="1"/>
  <c r="F1082" i="6" s="1"/>
  <c r="F1083" i="6" a="1"/>
  <c r="F1083" i="6"/>
  <c r="F1084" i="6" a="1"/>
  <c r="F1084" i="6" s="1"/>
  <c r="F1085" i="6" a="1"/>
  <c r="F1085" i="6"/>
  <c r="F1086" i="6" a="1"/>
  <c r="F1086" i="6"/>
  <c r="F1087" i="6" a="1"/>
  <c r="F1087" i="6"/>
  <c r="F1088" i="6" a="1"/>
  <c r="F1088" i="6" s="1"/>
  <c r="F1089" i="6" a="1"/>
  <c r="F1089" i="6" s="1"/>
  <c r="F1090" i="6" a="1"/>
  <c r="F1090" i="6" s="1"/>
  <c r="F1091" i="6" a="1"/>
  <c r="F1091" i="6" s="1"/>
  <c r="F1092" i="6" a="1"/>
  <c r="F1092" i="6" s="1"/>
  <c r="F1093" i="6" a="1"/>
  <c r="F1093" i="6"/>
  <c r="F1094" i="6" a="1"/>
  <c r="F1094" i="6"/>
  <c r="F1095" i="6" a="1"/>
  <c r="F1095" i="6"/>
  <c r="F1096" i="6" a="1"/>
  <c r="F1096" i="6" s="1"/>
  <c r="F1097" i="6" a="1"/>
  <c r="F1097" i="6"/>
  <c r="F1098" i="6" a="1"/>
  <c r="F1098" i="6" s="1"/>
  <c r="F1099" i="6" a="1"/>
  <c r="F1099" i="6" s="1"/>
  <c r="F1100" i="6" a="1"/>
  <c r="F1100" i="6" s="1"/>
  <c r="F1101" i="6" a="1"/>
  <c r="F1101" i="6"/>
  <c r="F1102" i="6" a="1"/>
  <c r="F1102" i="6"/>
  <c r="F1103" i="6" a="1"/>
  <c r="F1103" i="6"/>
  <c r="F1104" i="6" a="1"/>
  <c r="F1104" i="6" s="1"/>
  <c r="F1105" i="6" a="1"/>
  <c r="F1105" i="6" s="1"/>
  <c r="F1106" i="6" a="1"/>
  <c r="F1106" i="6" s="1"/>
  <c r="F1107" i="6" a="1"/>
  <c r="F1107" i="6" s="1"/>
  <c r="F1108" i="6" a="1"/>
  <c r="F1108" i="6" s="1"/>
  <c r="F1109" i="6" a="1"/>
  <c r="F1109" i="6"/>
  <c r="F1110" i="6" a="1"/>
  <c r="F1110" i="6"/>
  <c r="F1111" i="6" a="1"/>
  <c r="F1111" i="6"/>
  <c r="F1112" i="6" a="1"/>
  <c r="F1112" i="6" s="1"/>
  <c r="F1113" i="6" a="1"/>
  <c r="F1113" i="6" s="1"/>
  <c r="F1114" i="6" a="1"/>
  <c r="F1114" i="6" s="1"/>
  <c r="F1115" i="6" a="1"/>
  <c r="F1115" i="6"/>
  <c r="F1116" i="6" a="1"/>
  <c r="F1116" i="6" s="1"/>
  <c r="F1117" i="6" a="1"/>
  <c r="F1117" i="6"/>
  <c r="F1118" i="6" a="1"/>
  <c r="F1118" i="6"/>
  <c r="F1119" i="6" a="1"/>
  <c r="F1119" i="6"/>
  <c r="F1120" i="6" a="1"/>
  <c r="F1120" i="6" s="1"/>
  <c r="F1121" i="6" a="1"/>
  <c r="F1121" i="6" s="1"/>
  <c r="F1122" i="6" a="1"/>
  <c r="F1122" i="6" s="1"/>
  <c r="F1123" i="6" a="1"/>
  <c r="F1123" i="6" s="1"/>
  <c r="F1124" i="6" a="1"/>
  <c r="F1124" i="6" s="1"/>
  <c r="F1125" i="6" a="1"/>
  <c r="F1125" i="6"/>
  <c r="F1126" i="6" a="1"/>
  <c r="F1126" i="6"/>
  <c r="F1127" i="6" a="1"/>
  <c r="F1127" i="6"/>
  <c r="F1128" i="6" a="1"/>
  <c r="F1128" i="6" s="1"/>
  <c r="F1129" i="6" a="1"/>
  <c r="F1129" i="6"/>
  <c r="F1130" i="6" a="1"/>
  <c r="F1130" i="6" s="1"/>
  <c r="F1131" i="6" a="1"/>
  <c r="F1131" i="6" s="1"/>
  <c r="F1132" i="6" a="1"/>
  <c r="F1132" i="6" s="1"/>
  <c r="F1133" i="6" a="1"/>
  <c r="F1133" i="6"/>
  <c r="F1134" i="6" a="1"/>
  <c r="F1134" i="6"/>
  <c r="F1135" i="6" a="1"/>
  <c r="F1135" i="6"/>
  <c r="F1136" i="6" a="1"/>
  <c r="F1136" i="6" s="1"/>
  <c r="F1137" i="6" a="1"/>
  <c r="F1137" i="6" s="1"/>
  <c r="F1138" i="6" a="1"/>
  <c r="F1138" i="6"/>
  <c r="F1139" i="6" a="1"/>
  <c r="F1139" i="6" s="1"/>
  <c r="F1140" i="6" a="1"/>
  <c r="F1140" i="6" s="1"/>
  <c r="F1141" i="6" a="1"/>
  <c r="F1141" i="6"/>
  <c r="F1142" i="6" a="1"/>
  <c r="F1142" i="6"/>
  <c r="F1143" i="6" a="1"/>
  <c r="F1143" i="6"/>
  <c r="F1144" i="6" a="1"/>
  <c r="F1144" i="6" s="1"/>
  <c r="F1145" i="6" a="1"/>
  <c r="F1145" i="6" s="1"/>
  <c r="F1146" i="6" a="1"/>
  <c r="F1146" i="6" s="1"/>
  <c r="F1147" i="6" a="1"/>
  <c r="F1147" i="6"/>
  <c r="F1148" i="6" a="1"/>
  <c r="F1148" i="6" s="1"/>
  <c r="F1149" i="6" a="1"/>
  <c r="F1149" i="6"/>
  <c r="F1150" i="6" a="1"/>
  <c r="F1150" i="6"/>
  <c r="F1151" i="6" a="1"/>
  <c r="F1151" i="6"/>
  <c r="F1152" i="6" a="1"/>
  <c r="F1152" i="6" s="1"/>
  <c r="F1153" i="6" a="1"/>
  <c r="F1153" i="6" s="1"/>
  <c r="F1154" i="6" a="1"/>
  <c r="F1154" i="6" s="1"/>
  <c r="F1155" i="6" a="1"/>
  <c r="F1155" i="6" s="1"/>
  <c r="F1156" i="6" a="1"/>
  <c r="F1156" i="6" s="1"/>
  <c r="F1157" i="6" a="1"/>
  <c r="F1157" i="6"/>
  <c r="F1158" i="6" a="1"/>
  <c r="F1158" i="6"/>
  <c r="F1159" i="6" a="1"/>
  <c r="F1159" i="6"/>
  <c r="F1160" i="6" a="1"/>
  <c r="F1160" i="6" s="1"/>
  <c r="F1161" i="6" a="1"/>
  <c r="F1161" i="6"/>
  <c r="F1162" i="6" a="1"/>
  <c r="F1162" i="6" s="1"/>
  <c r="F1163" i="6" a="1"/>
  <c r="F1163" i="6" s="1"/>
  <c r="F1164" i="6" a="1"/>
  <c r="F1164" i="6" s="1"/>
  <c r="F1165" i="6" a="1"/>
  <c r="F1165" i="6"/>
  <c r="F1166" i="6" a="1"/>
  <c r="F1166" i="6"/>
  <c r="F1167" i="6" a="1"/>
  <c r="F1167" i="6"/>
  <c r="F1168" i="6" a="1"/>
  <c r="F1168" i="6" s="1"/>
  <c r="F1169" i="6" a="1"/>
  <c r="F1169" i="6" s="1"/>
  <c r="F1170" i="6" a="1"/>
  <c r="F1170" i="6"/>
  <c r="F1171" i="6" a="1"/>
  <c r="F1171" i="6" s="1"/>
  <c r="F1172" i="6" a="1"/>
  <c r="F1172" i="6" s="1"/>
  <c r="F1173" i="6" a="1"/>
  <c r="F1173" i="6"/>
  <c r="F1174" i="6" a="1"/>
  <c r="F1174" i="6"/>
  <c r="F1175" i="6" a="1"/>
  <c r="F1175" i="6"/>
  <c r="F1176" i="6" a="1"/>
  <c r="F1176" i="6" s="1"/>
  <c r="F1177" i="6" a="1"/>
  <c r="F1177" i="6" s="1"/>
  <c r="F1178" i="6" a="1"/>
  <c r="F1178" i="6" s="1"/>
  <c r="F1179" i="6" a="1"/>
  <c r="F1179" i="6"/>
  <c r="F1180" i="6" a="1"/>
  <c r="F1180" i="6" s="1"/>
  <c r="F1181" i="6" a="1"/>
  <c r="F1181" i="6"/>
  <c r="F1182" i="6" a="1"/>
  <c r="F1182" i="6"/>
  <c r="F1183" i="6" a="1"/>
  <c r="F1183" i="6"/>
  <c r="F1184" i="6" a="1"/>
  <c r="F1184" i="6" s="1"/>
  <c r="F1185" i="6" a="1"/>
  <c r="F1185" i="6" s="1"/>
  <c r="F1186" i="6" a="1"/>
  <c r="F1186" i="6" s="1"/>
  <c r="F1187" i="6" a="1"/>
  <c r="F1187" i="6" s="1"/>
  <c r="F1188" i="6" a="1"/>
  <c r="F1188" i="6" s="1"/>
  <c r="F1189" i="6" a="1"/>
  <c r="F1189" i="6"/>
  <c r="F1190" i="6" a="1"/>
  <c r="F1190" i="6"/>
  <c r="F1191" i="6" a="1"/>
  <c r="F1191" i="6"/>
  <c r="F1192" i="6" a="1"/>
  <c r="F1192" i="6" s="1"/>
  <c r="F1193" i="6" a="1"/>
  <c r="F1193" i="6"/>
  <c r="F1194" i="6" a="1"/>
  <c r="F1194" i="6" s="1"/>
  <c r="F1195" i="6" a="1"/>
  <c r="F1195" i="6" s="1"/>
  <c r="F1196" i="6" a="1"/>
  <c r="F1196" i="6" s="1"/>
  <c r="F1197" i="6" a="1"/>
  <c r="F1197" i="6"/>
  <c r="F1198" i="6" a="1"/>
  <c r="F1198" i="6"/>
  <c r="F1199" i="6" a="1"/>
  <c r="F1199" i="6"/>
  <c r="F1200" i="6" a="1"/>
  <c r="F1200" i="6" s="1"/>
  <c r="F1201" i="6" a="1"/>
  <c r="F1201" i="6" s="1"/>
  <c r="F1202" i="6" a="1"/>
  <c r="F1202" i="6"/>
  <c r="F1203" i="6" a="1"/>
  <c r="F1203" i="6" s="1"/>
  <c r="F1204" i="6" a="1"/>
  <c r="F1204" i="6" s="1"/>
  <c r="F1205" i="6" a="1"/>
  <c r="F1205" i="6"/>
  <c r="F1206" i="6" a="1"/>
  <c r="F1206" i="6"/>
  <c r="F1207" i="6" a="1"/>
  <c r="F1207" i="6"/>
  <c r="F1208" i="6" a="1"/>
  <c r="F1208" i="6" s="1"/>
  <c r="F1209" i="6" a="1"/>
  <c r="F1209" i="6" s="1"/>
  <c r="F1210" i="6" a="1"/>
  <c r="F1210" i="6" s="1"/>
  <c r="F1211" i="6" a="1"/>
  <c r="F1211" i="6"/>
  <c r="F1212" i="6" a="1"/>
  <c r="F1212" i="6" s="1"/>
  <c r="F1213" i="6" a="1"/>
  <c r="F1213" i="6"/>
  <c r="F1214" i="6" a="1"/>
  <c r="F1214" i="6"/>
  <c r="F1215" i="6" a="1"/>
  <c r="F1215" i="6"/>
  <c r="F1216" i="6" a="1"/>
  <c r="F1216" i="6" s="1"/>
  <c r="F1217" i="6" a="1"/>
  <c r="F1217" i="6" s="1"/>
  <c r="F1218" i="6" a="1"/>
  <c r="F1218" i="6" s="1"/>
  <c r="F1219" i="6" a="1"/>
  <c r="F1219" i="6" s="1"/>
  <c r="F1220" i="6" a="1"/>
  <c r="F1220" i="6" s="1"/>
  <c r="F1221" i="6" a="1"/>
  <c r="F1221" i="6"/>
  <c r="F1222" i="6" a="1"/>
  <c r="F1222" i="6"/>
  <c r="F1223" i="6" a="1"/>
  <c r="F1223" i="6"/>
  <c r="F1224" i="6" a="1"/>
  <c r="F1224" i="6" s="1"/>
  <c r="F1225" i="6" a="1"/>
  <c r="F1225" i="6"/>
  <c r="F1226" i="6" a="1"/>
  <c r="F1226" i="6" s="1"/>
  <c r="F1227" i="6" a="1"/>
  <c r="F1227" i="6" s="1"/>
  <c r="F1228" i="6" a="1"/>
  <c r="F1228" i="6" s="1"/>
  <c r="F1229" i="6" a="1"/>
  <c r="F1229" i="6"/>
  <c r="F1230" i="6" a="1"/>
  <c r="F1230" i="6"/>
  <c r="F1231" i="6" a="1"/>
  <c r="F1231" i="6"/>
  <c r="F1232" i="6" a="1"/>
  <c r="F1232" i="6" s="1"/>
  <c r="F1233" i="6" a="1"/>
  <c r="F1233" i="6" s="1"/>
  <c r="F1234" i="6" a="1"/>
  <c r="F1234" i="6"/>
  <c r="F1235" i="6" a="1"/>
  <c r="F1235" i="6" s="1"/>
  <c r="F1236" i="6" a="1"/>
  <c r="F1236" i="6" s="1"/>
  <c r="F1237" i="6" a="1"/>
  <c r="F1237" i="6"/>
  <c r="F1238" i="6" a="1"/>
  <c r="F1238" i="6"/>
  <c r="F1239" i="6" a="1"/>
  <c r="F1239" i="6"/>
  <c r="F1240" i="6" a="1"/>
  <c r="F1240" i="6" s="1"/>
  <c r="F1241" i="6" a="1"/>
  <c r="F1241" i="6" s="1"/>
  <c r="F1242" i="6" a="1"/>
  <c r="F1242" i="6" s="1"/>
  <c r="F1243" i="6" a="1"/>
  <c r="F1243" i="6"/>
  <c r="F1244" i="6" a="1"/>
  <c r="F1244" i="6" s="1"/>
  <c r="F1245" i="6" a="1"/>
  <c r="F1245" i="6"/>
  <c r="F1246" i="6" a="1"/>
  <c r="F1246" i="6"/>
  <c r="F1247" i="6" a="1"/>
  <c r="F1247" i="6"/>
  <c r="F1248" i="6" a="1"/>
  <c r="F1248" i="6" s="1"/>
  <c r="F1249" i="6" a="1"/>
  <c r="F1249" i="6" s="1"/>
  <c r="F1250" i="6" a="1"/>
  <c r="F1250" i="6" s="1"/>
  <c r="F1251" i="6" a="1"/>
  <c r="F1251" i="6" s="1"/>
  <c r="F1252" i="6" a="1"/>
  <c r="F1252" i="6" s="1"/>
  <c r="F1253" i="6" a="1"/>
  <c r="F1253" i="6"/>
  <c r="F1254" i="6" a="1"/>
  <c r="F1254" i="6"/>
  <c r="F1255" i="6" a="1"/>
  <c r="F1255" i="6"/>
  <c r="F1256" i="6" a="1"/>
  <c r="F1256" i="6" s="1"/>
  <c r="F1257" i="6" a="1"/>
  <c r="F1257" i="6"/>
  <c r="F1258" i="6" a="1"/>
  <c r="F1258" i="6" s="1"/>
  <c r="F1259" i="6" a="1"/>
  <c r="F1259" i="6" s="1"/>
  <c r="F1260" i="6" a="1"/>
  <c r="F1260" i="6" s="1"/>
  <c r="F1261" i="6" a="1"/>
  <c r="F1261" i="6"/>
  <c r="F1262" i="6" a="1"/>
  <c r="F1262" i="6"/>
  <c r="F1263" i="6" a="1"/>
  <c r="F1263" i="6"/>
  <c r="F1264" i="6" a="1"/>
  <c r="F1264" i="6" s="1"/>
  <c r="F1265" i="6" a="1"/>
  <c r="F1265" i="6" s="1"/>
  <c r="F1266" i="6" a="1"/>
  <c r="F1266" i="6"/>
  <c r="F1267" i="6" a="1"/>
  <c r="F1267" i="6" s="1"/>
  <c r="F1268" i="6" a="1"/>
  <c r="F1268" i="6" s="1"/>
  <c r="F1269" i="6" a="1"/>
  <c r="F1269" i="6"/>
  <c r="F1270" i="6" a="1"/>
  <c r="F1270" i="6"/>
  <c r="F1271" i="6" a="1"/>
  <c r="F1271" i="6"/>
  <c r="F1272" i="6" a="1"/>
  <c r="F1272" i="6" s="1"/>
  <c r="F1273" i="6" a="1"/>
  <c r="F1273" i="6" s="1"/>
  <c r="F1274" i="6" a="1"/>
  <c r="F1274" i="6" s="1"/>
  <c r="F1275" i="6" a="1"/>
  <c r="F1275" i="6"/>
  <c r="F1276" i="6" a="1"/>
  <c r="F1276" i="6" s="1"/>
  <c r="F1277" i="6" a="1"/>
  <c r="F1277" i="6"/>
  <c r="F1278" i="6" a="1"/>
  <c r="F1278" i="6"/>
  <c r="F1279" i="6" a="1"/>
  <c r="F1279" i="6"/>
  <c r="F1280" i="6" a="1"/>
  <c r="F1280" i="6" s="1"/>
  <c r="F1281" i="6" a="1"/>
  <c r="F1281" i="6" s="1"/>
  <c r="F1282" i="6" a="1"/>
  <c r="F1282" i="6" s="1"/>
  <c r="F1283" i="6" a="1"/>
  <c r="F1283" i="6" s="1"/>
  <c r="F1284" i="6" a="1"/>
  <c r="F1284" i="6"/>
  <c r="F1285" i="6" a="1"/>
  <c r="F1285" i="6" s="1"/>
  <c r="F1286" i="6" a="1"/>
  <c r="F1286" i="6" s="1"/>
  <c r="F1287" i="6" a="1"/>
  <c r="F1287" i="6" s="1"/>
  <c r="F1288" i="6" a="1"/>
  <c r="F1288" i="6"/>
  <c r="F1289" i="6" a="1"/>
  <c r="F1289" i="6" s="1"/>
  <c r="F1290" i="6" a="1"/>
  <c r="F1290" i="6" s="1"/>
  <c r="F1291" i="6" a="1"/>
  <c r="F1291" i="6" s="1"/>
  <c r="F1292" i="6" a="1"/>
  <c r="F1292" i="6"/>
  <c r="F1293" i="6" a="1"/>
  <c r="F1293" i="6" s="1"/>
  <c r="F1294" i="6" a="1"/>
  <c r="F1294" i="6" s="1"/>
  <c r="F1295" i="6" a="1"/>
  <c r="F1295" i="6" s="1"/>
  <c r="F1296" i="6" a="1"/>
  <c r="F1296" i="6"/>
  <c r="F1297" i="6" a="1"/>
  <c r="F1297" i="6" s="1"/>
  <c r="F1298" i="6" a="1"/>
  <c r="F1298" i="6" s="1"/>
  <c r="F1299" i="6" a="1"/>
  <c r="F1299" i="6" s="1"/>
  <c r="F1300" i="6" a="1"/>
  <c r="F1300" i="6"/>
  <c r="F1301" i="6" a="1"/>
  <c r="F1301" i="6" s="1"/>
  <c r="F1302" i="6" a="1"/>
  <c r="F1302" i="6" s="1"/>
  <c r="F1303" i="6" a="1"/>
  <c r="F1303" i="6" s="1"/>
  <c r="F1304" i="6" a="1"/>
  <c r="F1304" i="6"/>
  <c r="F1305" i="6" a="1"/>
  <c r="F1305" i="6" s="1"/>
  <c r="F1306" i="6" a="1"/>
  <c r="F1306" i="6" s="1"/>
  <c r="F1307" i="6" a="1"/>
  <c r="F1307" i="6" s="1"/>
  <c r="F1308" i="6" a="1"/>
  <c r="F1308" i="6"/>
  <c r="F1309" i="6" a="1"/>
  <c r="F1309" i="6" s="1"/>
  <c r="F1310" i="6" a="1"/>
  <c r="F1310" i="6" s="1"/>
  <c r="F1311" i="6" a="1"/>
  <c r="F1311" i="6" s="1"/>
  <c r="F1312" i="6" a="1"/>
  <c r="F1312" i="6"/>
  <c r="F1313" i="6" a="1"/>
  <c r="F1313" i="6" s="1"/>
  <c r="F1314" i="6" a="1"/>
  <c r="F1314" i="6" s="1"/>
  <c r="F1315" i="6" a="1"/>
  <c r="F1315" i="6" s="1"/>
  <c r="F1316" i="6" a="1"/>
  <c r="F1316" i="6"/>
  <c r="F1317" i="6" a="1"/>
  <c r="F1317" i="6" s="1"/>
  <c r="F1318" i="6" a="1"/>
  <c r="F1318" i="6" s="1"/>
  <c r="F1319" i="6" a="1"/>
  <c r="F1319" i="6" s="1"/>
  <c r="F1320" i="6" a="1"/>
  <c r="F1320" i="6"/>
  <c r="F1321" i="6" a="1"/>
  <c r="F1321" i="6" s="1"/>
  <c r="F1322" i="6" a="1"/>
  <c r="F1322" i="6" s="1"/>
  <c r="F1323" i="6" a="1"/>
  <c r="F1323" i="6" s="1"/>
  <c r="F1324" i="6" a="1"/>
  <c r="F1324" i="6"/>
  <c r="F1325" i="6" a="1"/>
  <c r="F1325" i="6" s="1"/>
  <c r="F1326" i="6" a="1"/>
  <c r="F1326" i="6" s="1"/>
  <c r="F1327" i="6" a="1"/>
  <c r="F1327" i="6" s="1"/>
  <c r="F1328" i="6" a="1"/>
  <c r="F1328" i="6"/>
  <c r="F1329" i="6" a="1"/>
  <c r="F1329" i="6" s="1"/>
  <c r="F1330" i="6" a="1"/>
  <c r="F1330" i="6" s="1"/>
  <c r="F1331" i="6" a="1"/>
  <c r="F1331" i="6" s="1"/>
  <c r="F1332" i="6" a="1"/>
  <c r="F1332" i="6"/>
  <c r="F1333" i="6" a="1"/>
  <c r="F1333" i="6" s="1"/>
  <c r="F1334" i="6" a="1"/>
  <c r="F1334" i="6" s="1"/>
  <c r="F1335" i="6" a="1"/>
  <c r="F1335" i="6" s="1"/>
  <c r="F1336" i="6" a="1"/>
  <c r="F1336" i="6"/>
  <c r="F1337" i="6" a="1"/>
  <c r="F1337" i="6" s="1"/>
  <c r="F1338" i="6" a="1"/>
  <c r="F1338" i="6" s="1"/>
  <c r="F1339" i="6" a="1"/>
  <c r="F1339" i="6" s="1"/>
  <c r="F1340" i="6" a="1"/>
  <c r="F1340" i="6"/>
  <c r="F1341" i="6" a="1"/>
  <c r="F1341" i="6" s="1"/>
  <c r="F1342" i="6" a="1"/>
  <c r="F1342" i="6" s="1"/>
  <c r="F1343" i="6" a="1"/>
  <c r="F1343" i="6" s="1"/>
  <c r="F1344" i="6" a="1"/>
  <c r="F1344" i="6"/>
  <c r="F1345" i="6" a="1"/>
  <c r="F1345" i="6" s="1"/>
  <c r="F1346" i="6" a="1"/>
  <c r="F1346" i="6" s="1"/>
  <c r="F1347" i="6" a="1"/>
  <c r="F1347" i="6" s="1"/>
  <c r="F1348" i="6" a="1"/>
  <c r="F1348" i="6"/>
  <c r="F1349" i="6" a="1"/>
  <c r="F1349" i="6" s="1"/>
  <c r="F1350" i="6" a="1"/>
  <c r="F1350" i="6" s="1"/>
  <c r="F1351" i="6" a="1"/>
  <c r="F1351" i="6" s="1"/>
  <c r="F1352" i="6" a="1"/>
  <c r="F1352" i="6"/>
  <c r="F1353" i="6" a="1"/>
  <c r="F1353" i="6" s="1"/>
  <c r="F1354" i="6" a="1"/>
  <c r="F1354" i="6" s="1"/>
  <c r="F1355" i="6" a="1"/>
  <c r="F1355" i="6" s="1"/>
  <c r="F1356" i="6" a="1"/>
  <c r="F1356" i="6"/>
  <c r="F1357" i="6" a="1"/>
  <c r="F1357" i="6" s="1"/>
  <c r="F1358" i="6" a="1"/>
  <c r="F1358" i="6" s="1"/>
  <c r="F1359" i="6" a="1"/>
  <c r="F1359" i="6" s="1"/>
  <c r="F1360" i="6" a="1"/>
  <c r="F1360" i="6"/>
  <c r="F1361" i="6" a="1"/>
  <c r="F1361" i="6" s="1"/>
  <c r="F1362" i="6" a="1"/>
  <c r="F1362" i="6" s="1"/>
  <c r="F1363" i="6" a="1"/>
  <c r="F1363" i="6" s="1"/>
  <c r="F1364" i="6" a="1"/>
  <c r="F1364" i="6"/>
  <c r="F1365" i="6" a="1"/>
  <c r="F1365" i="6" s="1"/>
  <c r="F1366" i="6" a="1"/>
  <c r="F1366" i="6" s="1"/>
  <c r="F1367" i="6" a="1"/>
  <c r="F1367" i="6" s="1"/>
  <c r="F1368" i="6" a="1"/>
  <c r="F1368" i="6"/>
  <c r="F1369" i="6" a="1"/>
  <c r="F1369" i="6" s="1"/>
  <c r="F1370" i="6" a="1"/>
  <c r="F1370" i="6" s="1"/>
  <c r="F1371" i="6" a="1"/>
  <c r="F1371" i="6" s="1"/>
  <c r="F1372" i="6" a="1"/>
  <c r="F1372" i="6"/>
  <c r="F1373" i="6" a="1"/>
  <c r="F1373" i="6" s="1"/>
  <c r="F1374" i="6" a="1"/>
  <c r="F1374" i="6" s="1"/>
  <c r="F1375" i="6" a="1"/>
  <c r="F1375" i="6" s="1"/>
  <c r="F1376" i="6" a="1"/>
  <c r="F1376" i="6"/>
  <c r="F1377" i="6" a="1"/>
  <c r="F1377" i="6" s="1"/>
  <c r="F1378" i="6" a="1"/>
  <c r="F1378" i="6" s="1"/>
  <c r="F1379" i="6" a="1"/>
  <c r="F1379" i="6" s="1"/>
  <c r="F1380" i="6" a="1"/>
  <c r="F1380" i="6"/>
  <c r="F1381" i="6" a="1"/>
  <c r="F1381" i="6" s="1"/>
  <c r="F1382" i="6" a="1"/>
  <c r="F1382" i="6" s="1"/>
  <c r="F1383" i="6" a="1"/>
  <c r="F1383" i="6" s="1"/>
  <c r="F1384" i="6" a="1"/>
  <c r="F1384" i="6"/>
  <c r="F1385" i="6" a="1"/>
  <c r="F1385" i="6" s="1"/>
  <c r="F1386" i="6" a="1"/>
  <c r="F1386" i="6" s="1"/>
  <c r="F1387" i="6" a="1"/>
  <c r="F1387" i="6" s="1"/>
  <c r="F1388" i="6" a="1"/>
  <c r="F1388" i="6"/>
  <c r="F1389" i="6" a="1"/>
  <c r="F1389" i="6" s="1"/>
  <c r="F1390" i="6" a="1"/>
  <c r="F1390" i="6" s="1"/>
  <c r="F1391" i="6" a="1"/>
  <c r="F1391" i="6" s="1"/>
  <c r="F1392" i="6" a="1"/>
  <c r="F1392" i="6"/>
  <c r="F1393" i="6" a="1"/>
  <c r="F1393" i="6" s="1"/>
  <c r="F1394" i="6" a="1"/>
  <c r="F1394" i="6" s="1"/>
  <c r="F1395" i="6" a="1"/>
  <c r="F1395" i="6" s="1"/>
  <c r="F1396" i="6" a="1"/>
  <c r="F1396" i="6"/>
  <c r="F1397" i="6" a="1"/>
  <c r="F1397" i="6" s="1"/>
  <c r="F1398" i="6" a="1"/>
  <c r="F1398" i="6" s="1"/>
  <c r="F1399" i="6" a="1"/>
  <c r="F1399" i="6" s="1"/>
  <c r="F1400" i="6" a="1"/>
  <c r="F1400" i="6"/>
  <c r="F1401" i="6" a="1"/>
  <c r="F1401" i="6" s="1"/>
  <c r="F1402" i="6" a="1"/>
  <c r="F1402" i="6" s="1"/>
  <c r="F1403" i="6" a="1"/>
  <c r="F1403" i="6" s="1"/>
  <c r="F1404" i="6" a="1"/>
  <c r="F1404" i="6"/>
  <c r="F1405" i="6" a="1"/>
  <c r="F1405" i="6" s="1"/>
  <c r="F1406" i="6" a="1"/>
  <c r="F1406" i="6" s="1"/>
  <c r="F1407" i="6" a="1"/>
  <c r="F1407" i="6" s="1"/>
  <c r="F1408" i="6" a="1"/>
  <c r="F1408" i="6"/>
  <c r="F1409" i="6" a="1"/>
  <c r="F1409" i="6" s="1"/>
  <c r="F1410" i="6" a="1"/>
  <c r="F1410" i="6" s="1"/>
  <c r="F1411" i="6" a="1"/>
  <c r="F1411" i="6" s="1"/>
  <c r="F1412" i="6" a="1"/>
  <c r="F1412" i="6"/>
  <c r="F1413" i="6" a="1"/>
  <c r="F1413" i="6" s="1"/>
  <c r="F1414" i="6" a="1"/>
  <c r="F1414" i="6" s="1"/>
  <c r="F1415" i="6" a="1"/>
  <c r="F1415" i="6" s="1"/>
  <c r="F1416" i="6" a="1"/>
  <c r="F1416" i="6"/>
  <c r="F1417" i="6" a="1"/>
  <c r="F1417" i="6" s="1"/>
  <c r="F1418" i="6" a="1"/>
  <c r="F1418" i="6" s="1"/>
  <c r="F1419" i="6" a="1"/>
  <c r="F1419" i="6" s="1"/>
  <c r="F1420" i="6" a="1"/>
  <c r="F1420" i="6"/>
  <c r="F1421" i="6" a="1"/>
  <c r="F1421" i="6" s="1"/>
  <c r="F1422" i="6" a="1"/>
  <c r="F1422" i="6" s="1"/>
  <c r="F1423" i="6" a="1"/>
  <c r="F1423" i="6" s="1"/>
  <c r="F1424" i="6" a="1"/>
  <c r="F1424" i="6"/>
  <c r="F1425" i="6" a="1"/>
  <c r="F1425" i="6" s="1"/>
  <c r="F1426" i="6" a="1"/>
  <c r="F1426" i="6" s="1"/>
  <c r="F1427" i="6" a="1"/>
  <c r="F1427" i="6" s="1"/>
  <c r="F1428" i="6" a="1"/>
  <c r="F1428" i="6"/>
  <c r="F1429" i="6" a="1"/>
  <c r="F1429" i="6" s="1"/>
  <c r="F1430" i="6" a="1"/>
  <c r="F1430" i="6" s="1"/>
  <c r="F1431" i="6" a="1"/>
  <c r="F1431" i="6" s="1"/>
  <c r="F1432" i="6" a="1"/>
  <c r="F1432" i="6"/>
  <c r="F1433" i="6" a="1"/>
  <c r="F1433" i="6" s="1"/>
  <c r="F1434" i="6" a="1"/>
  <c r="F1434" i="6" s="1"/>
  <c r="F1435" i="6" a="1"/>
  <c r="F1435" i="6" s="1"/>
  <c r="F1436" i="6" a="1"/>
  <c r="F1436" i="6"/>
  <c r="F1437" i="6" a="1"/>
  <c r="F1437" i="6" s="1"/>
  <c r="F1438" i="6" a="1"/>
  <c r="F1438" i="6" s="1"/>
  <c r="F1439" i="6" a="1"/>
  <c r="F1439" i="6" s="1"/>
  <c r="F1440" i="6" a="1"/>
  <c r="F1440" i="6"/>
  <c r="F1441" i="6" a="1"/>
  <c r="F1441" i="6" s="1"/>
  <c r="F1442" i="6" a="1"/>
  <c r="F1442" i="6" s="1"/>
  <c r="F1443" i="6" a="1"/>
  <c r="F1443" i="6" s="1"/>
  <c r="F1444" i="6" a="1"/>
  <c r="F1444" i="6"/>
  <c r="F1445" i="6" a="1"/>
  <c r="F1445" i="6" s="1"/>
  <c r="F1446" i="6" a="1"/>
  <c r="F1446" i="6" s="1"/>
  <c r="F1447" i="6" a="1"/>
  <c r="F1447" i="6" s="1"/>
  <c r="F1448" i="6" a="1"/>
  <c r="F1448" i="6"/>
  <c r="F1449" i="6" a="1"/>
  <c r="F1449" i="6" s="1"/>
  <c r="F1450" i="6" a="1"/>
  <c r="F1450" i="6" s="1"/>
  <c r="F939" i="6" a="1"/>
  <c r="F939" i="6" s="1"/>
  <c r="F940" i="6" a="1"/>
  <c r="F940" i="6" s="1"/>
  <c r="F941" i="6" a="1"/>
  <c r="F941" i="6" s="1"/>
  <c r="F942" i="6" a="1"/>
  <c r="F942" i="6" s="1"/>
  <c r="F943" i="6" a="1"/>
  <c r="F943" i="6" s="1"/>
  <c r="F927" i="6" a="1"/>
  <c r="F927" i="6" s="1"/>
  <c r="F928" i="6" a="1"/>
  <c r="F928" i="6" s="1"/>
  <c r="F929" i="6" a="1"/>
  <c r="F929" i="6" s="1"/>
  <c r="F930" i="6" a="1"/>
  <c r="F930" i="6" s="1"/>
  <c r="F931" i="6" a="1"/>
  <c r="F931" i="6" s="1"/>
  <c r="F932" i="6" a="1"/>
  <c r="F932" i="6" s="1"/>
  <c r="F933" i="6" a="1"/>
  <c r="F933" i="6" s="1"/>
  <c r="F934" i="6" a="1"/>
  <c r="F934" i="6" s="1"/>
  <c r="F935" i="6" a="1"/>
  <c r="F935" i="6" s="1"/>
  <c r="F936" i="6" a="1"/>
  <c r="F936" i="6" s="1"/>
  <c r="F937" i="6" a="1"/>
  <c r="F937" i="6" s="1"/>
  <c r="F938" i="6" a="1"/>
  <c r="F938" i="6" s="1"/>
  <c r="I913" i="6"/>
  <c r="I912" i="6"/>
  <c r="I911" i="6"/>
  <c r="I910" i="6"/>
  <c r="I909" i="6"/>
  <c r="I908" i="6"/>
  <c r="I907" i="6"/>
  <c r="I906" i="6"/>
  <c r="I905" i="6"/>
  <c r="I904" i="6"/>
  <c r="I903" i="6"/>
  <c r="I902" i="6"/>
  <c r="I901" i="6"/>
  <c r="I900" i="6"/>
  <c r="I899" i="6"/>
  <c r="I898" i="6"/>
  <c r="I897" i="6"/>
  <c r="I896" i="6"/>
  <c r="I895" i="6"/>
  <c r="I894" i="6"/>
  <c r="I893" i="6"/>
  <c r="I892" i="6"/>
  <c r="I891" i="6"/>
  <c r="I890" i="6"/>
  <c r="I889" i="6"/>
  <c r="I888" i="6"/>
  <c r="I887" i="6"/>
  <c r="I886" i="6"/>
  <c r="I885" i="6"/>
  <c r="I884" i="6"/>
  <c r="I883" i="6"/>
  <c r="I882" i="6"/>
  <c r="I881" i="6"/>
  <c r="I880" i="6"/>
  <c r="I879" i="6"/>
  <c r="I878" i="6"/>
  <c r="I877" i="6"/>
  <c r="I876" i="6"/>
  <c r="I875" i="6"/>
  <c r="I874" i="6"/>
  <c r="I873" i="6"/>
  <c r="I872" i="6"/>
  <c r="I871" i="6"/>
  <c r="I870" i="6"/>
  <c r="I869" i="6"/>
  <c r="I868" i="6"/>
  <c r="I867" i="6"/>
  <c r="I866" i="6"/>
  <c r="I865" i="6"/>
  <c r="I864" i="6"/>
  <c r="H687" i="5"/>
  <c r="H805" i="5"/>
  <c r="H802" i="5"/>
  <c r="F972" i="5" a="1"/>
  <c r="F972" i="5" s="1"/>
  <c r="F971" i="5" a="1"/>
  <c r="F971" i="5" s="1"/>
  <c r="F970" i="5" a="1"/>
  <c r="F970" i="5" s="1"/>
  <c r="F969" i="5" a="1"/>
  <c r="F969" i="5" s="1"/>
  <c r="F968" i="5" a="1"/>
  <c r="F968" i="5" s="1"/>
  <c r="F967" i="5" a="1"/>
  <c r="F967" i="5" s="1"/>
  <c r="F966" i="5" a="1"/>
  <c r="F966" i="5" s="1"/>
  <c r="F965" i="5" a="1"/>
  <c r="F965" i="5" s="1"/>
  <c r="F964" i="5" a="1"/>
  <c r="F964" i="5" s="1"/>
  <c r="F963" i="5" a="1"/>
  <c r="F963" i="5" s="1"/>
  <c r="F962" i="5" a="1"/>
  <c r="F962" i="5" s="1"/>
  <c r="F961" i="5" a="1"/>
  <c r="F961" i="5" s="1"/>
  <c r="F960" i="5" a="1"/>
  <c r="F960" i="5" s="1"/>
  <c r="F959" i="5" a="1"/>
  <c r="F959" i="5" s="1"/>
  <c r="F958" i="5" a="1"/>
  <c r="F958" i="5" s="1"/>
  <c r="F957" i="5" a="1"/>
  <c r="F957" i="5" s="1"/>
  <c r="F956" i="5" a="1"/>
  <c r="F956" i="5" s="1"/>
  <c r="F955" i="5" a="1"/>
  <c r="F955" i="5" s="1"/>
  <c r="F954" i="5" a="1"/>
  <c r="F954" i="5" s="1"/>
  <c r="F953" i="5" a="1"/>
  <c r="F953" i="5" s="1"/>
  <c r="F952" i="5" a="1"/>
  <c r="F952" i="5"/>
  <c r="F951" i="5" a="1"/>
  <c r="F951" i="5" s="1"/>
  <c r="F950" i="5" a="1"/>
  <c r="F950" i="5" s="1"/>
  <c r="F949" i="5" a="1"/>
  <c r="F949" i="5" s="1"/>
  <c r="F948" i="5" a="1"/>
  <c r="F948" i="5" s="1"/>
  <c r="F947" i="5" a="1"/>
  <c r="F947" i="5" s="1"/>
  <c r="F946" i="5" a="1"/>
  <c r="F946" i="5" s="1"/>
  <c r="F945" i="5" a="1"/>
  <c r="F945" i="5" s="1"/>
  <c r="F944" i="5" a="1"/>
  <c r="F944" i="5" s="1"/>
  <c r="F943" i="5" a="1"/>
  <c r="F943" i="5" s="1"/>
  <c r="F942" i="5" a="1"/>
  <c r="F942" i="5" s="1"/>
  <c r="F941" i="5" a="1"/>
  <c r="F941" i="5" s="1"/>
  <c r="F940" i="5" a="1"/>
  <c r="F940" i="5" s="1"/>
  <c r="F939" i="5" a="1"/>
  <c r="F939" i="5" s="1"/>
  <c r="F938" i="5" a="1"/>
  <c r="F938" i="5" s="1"/>
  <c r="F937" i="5" a="1"/>
  <c r="F937" i="5" s="1"/>
  <c r="F936" i="5" a="1"/>
  <c r="F936" i="5" s="1"/>
  <c r="F935" i="5" a="1"/>
  <c r="F935" i="5" s="1"/>
  <c r="F934" i="5" a="1"/>
  <c r="F934" i="5" s="1"/>
  <c r="F933" i="5" a="1"/>
  <c r="F933" i="5" s="1"/>
  <c r="F932" i="5" a="1"/>
  <c r="F932" i="5" s="1"/>
  <c r="F931" i="5" a="1"/>
  <c r="F931" i="5" s="1"/>
  <c r="Z3" i="5"/>
  <c r="F930" i="5" l="1" a="1"/>
  <c r="F930" i="5" s="1"/>
  <c r="I930" i="5" s="1"/>
  <c r="F929" i="5" a="1"/>
  <c r="F929" i="5" s="1"/>
  <c r="I929" i="5" s="1"/>
  <c r="F928" i="5" a="1"/>
  <c r="F928" i="5" s="1"/>
  <c r="I928" i="5" s="1"/>
  <c r="F927" i="5" a="1"/>
  <c r="F927" i="5" s="1"/>
  <c r="I927" i="5" s="1"/>
  <c r="F926" i="5" a="1"/>
  <c r="F926" i="5" s="1"/>
  <c r="I926" i="5" s="1"/>
  <c r="F925" i="5" a="1"/>
  <c r="F925" i="5" s="1"/>
  <c r="I925" i="5" s="1"/>
  <c r="F924" i="5" a="1"/>
  <c r="F924" i="5" s="1"/>
  <c r="I924" i="5" s="1"/>
  <c r="F923" i="5" a="1"/>
  <c r="F923" i="5" s="1"/>
  <c r="I923" i="5" s="1"/>
  <c r="F922" i="5" a="1"/>
  <c r="F922" i="5" s="1"/>
  <c r="I922" i="5" s="1"/>
  <c r="F921" i="5" a="1"/>
  <c r="F921" i="5" s="1"/>
  <c r="I921" i="5" s="1"/>
  <c r="F920" i="5" a="1"/>
  <c r="F920" i="5" s="1"/>
  <c r="I920" i="5" s="1"/>
  <c r="F919" i="5" a="1"/>
  <c r="F919" i="5" s="1"/>
  <c r="I919" i="5" s="1"/>
  <c r="F918" i="5" a="1"/>
  <c r="F918" i="5" s="1"/>
  <c r="I918" i="5" s="1"/>
  <c r="F917" i="5" a="1"/>
  <c r="F917" i="5" s="1"/>
  <c r="I917" i="5" s="1"/>
  <c r="F916" i="5" a="1"/>
  <c r="F916" i="5" s="1"/>
  <c r="I916" i="5" s="1"/>
  <c r="F915" i="5" a="1"/>
  <c r="F915" i="5" s="1"/>
  <c r="I915" i="5" s="1"/>
  <c r="F914" i="5" a="1"/>
  <c r="F914" i="5" s="1"/>
  <c r="I914" i="5" s="1"/>
  <c r="F913" i="5" a="1"/>
  <c r="F913" i="5" s="1"/>
  <c r="I913" i="5" s="1"/>
  <c r="F912" i="5" a="1"/>
  <c r="F912" i="5" s="1"/>
  <c r="I912" i="5" s="1"/>
  <c r="F911" i="5" a="1"/>
  <c r="F911" i="5" s="1"/>
  <c r="I911" i="5" s="1"/>
  <c r="F910" i="5" a="1"/>
  <c r="F910" i="5" s="1"/>
  <c r="I910" i="5" s="1"/>
  <c r="F909" i="5" a="1"/>
  <c r="F909" i="5" s="1"/>
  <c r="I909" i="5" s="1"/>
  <c r="F908" i="5" a="1"/>
  <c r="F908" i="5" s="1"/>
  <c r="I908" i="5" s="1"/>
  <c r="F907" i="5" a="1"/>
  <c r="F907" i="5" s="1"/>
  <c r="I907" i="5" s="1"/>
  <c r="F906" i="5" a="1"/>
  <c r="F906" i="5" s="1"/>
  <c r="I906" i="5" s="1"/>
  <c r="F905" i="5" a="1"/>
  <c r="F905" i="5" s="1"/>
  <c r="I905" i="5" s="1"/>
  <c r="F904" i="5" a="1"/>
  <c r="F904" i="5" s="1"/>
  <c r="I904" i="5" s="1"/>
  <c r="F903" i="5" a="1"/>
  <c r="F903" i="5" s="1"/>
  <c r="I903" i="5" s="1"/>
  <c r="F902" i="5" a="1"/>
  <c r="F902" i="5" s="1"/>
  <c r="I902" i="5" s="1"/>
  <c r="F901" i="5" a="1"/>
  <c r="F901" i="5" s="1"/>
  <c r="I901" i="5" s="1"/>
  <c r="F900" i="5" a="1"/>
  <c r="F900" i="5" s="1"/>
  <c r="I900" i="5" s="1"/>
  <c r="F899" i="5" a="1"/>
  <c r="F899" i="5" s="1"/>
  <c r="I899" i="5" s="1"/>
  <c r="F898" i="5" a="1"/>
  <c r="F898" i="5" s="1"/>
  <c r="I898" i="5" s="1"/>
  <c r="F894" i="5" a="1"/>
  <c r="F894" i="5" s="1"/>
  <c r="I894" i="5" s="1"/>
  <c r="F895" i="5" a="1"/>
  <c r="F895" i="5" s="1"/>
  <c r="I895" i="5" s="1"/>
  <c r="F896" i="5" a="1"/>
  <c r="F896" i="5" s="1"/>
  <c r="I896" i="5" s="1"/>
  <c r="F897" i="5" a="1"/>
  <c r="F897" i="5" s="1"/>
  <c r="I897" i="5" s="1"/>
  <c r="F893" i="5" a="1"/>
  <c r="F893" i="5" s="1"/>
  <c r="I893" i="5" s="1"/>
  <c r="F892" i="5" a="1"/>
  <c r="F892" i="5" s="1"/>
  <c r="I892" i="5" s="1"/>
  <c r="F891" i="5" a="1"/>
  <c r="F891" i="5" s="1"/>
  <c r="I891" i="5" s="1"/>
  <c r="F890" i="5" a="1"/>
  <c r="F890" i="5" s="1"/>
  <c r="I890" i="5" s="1"/>
  <c r="F889" i="5" a="1"/>
  <c r="F889" i="5" s="1"/>
  <c r="I889" i="5" s="1"/>
  <c r="F888" i="5" a="1"/>
  <c r="F888" i="5" s="1"/>
  <c r="I888" i="5" s="1"/>
  <c r="F887" i="5" a="1"/>
  <c r="F887" i="5" s="1"/>
  <c r="I887" i="5" s="1"/>
  <c r="F886" i="5" a="1"/>
  <c r="F886" i="5" s="1"/>
  <c r="I886" i="5" s="1"/>
  <c r="F885" i="5" a="1"/>
  <c r="F885" i="5" s="1"/>
  <c r="I885" i="5" s="1"/>
  <c r="F884" i="5" a="1"/>
  <c r="F884" i="5" s="1"/>
  <c r="I884" i="5" s="1"/>
  <c r="F883" i="5" a="1"/>
  <c r="F883" i="5" s="1"/>
  <c r="I883" i="5" s="1"/>
  <c r="F882" i="5" a="1"/>
  <c r="F882" i="5" s="1"/>
  <c r="I882" i="5" s="1"/>
  <c r="F881" i="5" a="1"/>
  <c r="F881" i="5" s="1"/>
  <c r="I881" i="5" s="1"/>
  <c r="F880" i="5" a="1"/>
  <c r="F880" i="5" s="1"/>
  <c r="I880" i="5" s="1"/>
  <c r="F879" i="5" a="1"/>
  <c r="F879" i="5" s="1"/>
  <c r="I879" i="5" s="1"/>
  <c r="F878" i="5" a="1"/>
  <c r="F878" i="5" s="1"/>
  <c r="I878" i="5" s="1"/>
  <c r="F877" i="5" a="1"/>
  <c r="F877" i="5" s="1"/>
  <c r="I877" i="5" s="1"/>
  <c r="F876" i="5" a="1"/>
  <c r="F876" i="5" s="1"/>
  <c r="I876" i="5" s="1"/>
  <c r="F875" i="5" a="1"/>
  <c r="F875" i="5" s="1"/>
  <c r="I875" i="5" s="1"/>
  <c r="F874" i="5" a="1"/>
  <c r="F874" i="5" s="1"/>
  <c r="I874" i="5" s="1"/>
  <c r="F873" i="5" a="1"/>
  <c r="F873" i="5" s="1"/>
  <c r="I873" i="5" s="1"/>
  <c r="F872" i="5" a="1"/>
  <c r="F872" i="5" s="1"/>
  <c r="I872" i="5" s="1"/>
  <c r="F871" i="5" a="1"/>
  <c r="F871" i="5" s="1"/>
  <c r="I871" i="5" s="1"/>
  <c r="F870" i="5" a="1"/>
  <c r="F870" i="5" s="1"/>
  <c r="I870" i="5" s="1"/>
  <c r="F869" i="5" a="1"/>
  <c r="F869" i="5" s="1"/>
  <c r="I869" i="5" s="1"/>
  <c r="F868" i="5" a="1"/>
  <c r="F868" i="5" s="1"/>
  <c r="I868" i="5" s="1"/>
  <c r="F867" i="5" a="1"/>
  <c r="F867" i="5" s="1"/>
  <c r="I867" i="5" s="1"/>
  <c r="F866" i="5" a="1"/>
  <c r="F866" i="5" s="1"/>
  <c r="I866" i="5" s="1"/>
  <c r="F865" i="5" a="1"/>
  <c r="F865" i="5" s="1"/>
  <c r="I865" i="5" s="1"/>
  <c r="F864" i="5" a="1"/>
  <c r="F864" i="5" s="1"/>
  <c r="I864" i="5" s="1"/>
  <c r="F863" i="5" a="1"/>
  <c r="F863" i="5" s="1"/>
  <c r="I863" i="5" s="1"/>
  <c r="F862" i="5" a="1"/>
  <c r="F862" i="5" s="1"/>
  <c r="I862" i="5" s="1"/>
  <c r="F861" i="5" a="1"/>
  <c r="F861" i="5" s="1"/>
  <c r="I861" i="5" s="1"/>
  <c r="F860" i="5" a="1"/>
  <c r="F860" i="5" s="1"/>
  <c r="I860" i="5" s="1"/>
  <c r="F859" i="5" a="1"/>
  <c r="F859" i="5" s="1"/>
  <c r="I859" i="5" s="1"/>
  <c r="F858" i="5" a="1"/>
  <c r="F858" i="5" s="1"/>
  <c r="I858" i="5" s="1"/>
  <c r="F857" i="5" a="1"/>
  <c r="F857" i="5" s="1"/>
  <c r="I857" i="5" s="1"/>
  <c r="F856" i="5" a="1"/>
  <c r="F856" i="5" s="1"/>
  <c r="I856" i="5" s="1"/>
  <c r="F855" i="5" a="1"/>
  <c r="F855" i="5" s="1"/>
  <c r="I855" i="5" s="1"/>
  <c r="F854" i="5" a="1"/>
  <c r="F854" i="5" s="1"/>
  <c r="I854" i="5" s="1"/>
  <c r="F853" i="5" a="1"/>
  <c r="F853" i="5" s="1"/>
  <c r="I853" i="5" s="1"/>
  <c r="F852" i="5" a="1"/>
  <c r="F852" i="5" s="1"/>
  <c r="I852" i="5" s="1"/>
  <c r="F851" i="5" a="1"/>
  <c r="F851" i="5" s="1"/>
  <c r="I851" i="5" s="1"/>
  <c r="F850" i="5" a="1"/>
  <c r="F850" i="5" s="1"/>
  <c r="I850" i="5" s="1"/>
  <c r="F849" i="5" a="1"/>
  <c r="F849" i="5" s="1"/>
  <c r="I849" i="5" s="1"/>
  <c r="F848" i="5" a="1"/>
  <c r="F848" i="5" s="1"/>
  <c r="I848" i="5" s="1"/>
  <c r="F847" i="5" a="1"/>
  <c r="F847" i="5" s="1"/>
  <c r="I847" i="5" s="1"/>
  <c r="F846" i="5" a="1"/>
  <c r="F846" i="5" s="1"/>
  <c r="I846" i="5" s="1"/>
  <c r="F845" i="5" a="1"/>
  <c r="F845" i="5" s="1"/>
  <c r="I845" i="5" s="1"/>
  <c r="F844" i="5" a="1"/>
  <c r="F844" i="5" s="1"/>
  <c r="I844" i="5" s="1"/>
  <c r="F843" i="5" a="1"/>
  <c r="F843" i="5" s="1"/>
  <c r="I843" i="5" s="1"/>
  <c r="F842" i="5" a="1"/>
  <c r="F842" i="5" s="1"/>
  <c r="I842" i="5" s="1"/>
  <c r="F841" i="5" a="1"/>
  <c r="F841" i="5" s="1"/>
  <c r="I841" i="5" s="1"/>
  <c r="F840" i="5" a="1"/>
  <c r="F840" i="5" s="1"/>
  <c r="I840" i="5" s="1"/>
  <c r="F839" i="5" a="1"/>
  <c r="F839" i="5" s="1"/>
  <c r="I839" i="5" s="1"/>
  <c r="F838" i="5" a="1"/>
  <c r="F838" i="5" s="1"/>
  <c r="I838" i="5" s="1"/>
  <c r="F837" i="5" a="1"/>
  <c r="F837" i="5" s="1"/>
  <c r="I837" i="5" s="1"/>
  <c r="F836" i="5" a="1"/>
  <c r="F836" i="5" s="1"/>
  <c r="I836" i="5" s="1"/>
  <c r="F835" i="5" a="1"/>
  <c r="F835" i="5" s="1"/>
  <c r="I835" i="5" s="1"/>
  <c r="F834" i="5" a="1"/>
  <c r="F834" i="5" s="1"/>
  <c r="I834" i="5" s="1"/>
  <c r="F833" i="5" a="1"/>
  <c r="F833" i="5" s="1"/>
  <c r="I833" i="5" s="1"/>
  <c r="F832" i="5" a="1"/>
  <c r="F832" i="5" s="1"/>
  <c r="I832" i="5" s="1"/>
  <c r="F831" i="5" a="1"/>
  <c r="F831" i="5" s="1"/>
  <c r="H832" i="5"/>
  <c r="H833" i="5"/>
  <c r="H834" i="5"/>
  <c r="H835" i="5"/>
  <c r="H836" i="5"/>
  <c r="H837" i="5"/>
  <c r="H838" i="5"/>
  <c r="H839" i="5"/>
  <c r="H840" i="5"/>
  <c r="H841" i="5"/>
  <c r="H842" i="5"/>
  <c r="H843" i="5"/>
  <c r="H844" i="5"/>
  <c r="H845" i="5"/>
  <c r="H846" i="5"/>
  <c r="H847" i="5"/>
  <c r="H848" i="5"/>
  <c r="H849" i="5"/>
  <c r="H850" i="5"/>
  <c r="H851" i="5"/>
  <c r="H852" i="5"/>
  <c r="H853" i="5"/>
  <c r="H854" i="5"/>
  <c r="H855" i="5"/>
  <c r="H856" i="5"/>
  <c r="H857" i="5"/>
  <c r="H858" i="5"/>
  <c r="H859" i="5"/>
  <c r="H860" i="5"/>
  <c r="H861" i="5"/>
  <c r="H862" i="5"/>
  <c r="H863" i="5"/>
  <c r="H864" i="5"/>
  <c r="H865" i="5"/>
  <c r="H866" i="5"/>
  <c r="H867" i="5"/>
  <c r="H868" i="5"/>
  <c r="H869" i="5"/>
  <c r="H870" i="5"/>
  <c r="H871" i="5"/>
  <c r="H872" i="5"/>
  <c r="H873" i="5"/>
  <c r="H874" i="5"/>
  <c r="H875" i="5"/>
  <c r="H876" i="5"/>
  <c r="H877" i="5"/>
  <c r="H878" i="5"/>
  <c r="H879" i="5"/>
  <c r="H880" i="5"/>
  <c r="H881" i="5"/>
  <c r="H882" i="5"/>
  <c r="H883" i="5"/>
  <c r="H884" i="5"/>
  <c r="H885" i="5"/>
  <c r="H886" i="5"/>
  <c r="H887" i="5"/>
  <c r="H888" i="5"/>
  <c r="H889" i="5"/>
  <c r="H890" i="5"/>
  <c r="H891" i="5"/>
  <c r="H892" i="5"/>
  <c r="H893" i="5"/>
  <c r="H894" i="5"/>
  <c r="H895" i="5"/>
  <c r="H896" i="5"/>
  <c r="H897" i="5"/>
  <c r="H898" i="5"/>
  <c r="H899" i="5"/>
  <c r="H900" i="5"/>
  <c r="H901" i="5"/>
  <c r="H902" i="5"/>
  <c r="H903" i="5"/>
  <c r="H904" i="5"/>
  <c r="H905" i="5"/>
  <c r="H906" i="5"/>
  <c r="H907" i="5"/>
  <c r="H908" i="5"/>
  <c r="H909" i="5"/>
  <c r="H910" i="5"/>
  <c r="H911" i="5"/>
  <c r="H912" i="5"/>
  <c r="H913" i="5"/>
  <c r="H914" i="5"/>
  <c r="H915" i="5"/>
  <c r="H916" i="5"/>
  <c r="H917" i="5"/>
  <c r="H918" i="5"/>
  <c r="H919" i="5"/>
  <c r="H920" i="5"/>
  <c r="H921" i="5"/>
  <c r="H922" i="5"/>
  <c r="H923" i="5"/>
  <c r="H924" i="5"/>
  <c r="H925" i="5"/>
  <c r="H926" i="5"/>
  <c r="H927" i="5"/>
  <c r="H928" i="5"/>
  <c r="H929" i="5"/>
  <c r="H930" i="5"/>
  <c r="H931" i="5"/>
  <c r="I931" i="5"/>
  <c r="H932" i="5"/>
  <c r="I932" i="5"/>
  <c r="H933" i="5"/>
  <c r="I933" i="5"/>
  <c r="H934" i="5"/>
  <c r="I934" i="5"/>
  <c r="H935" i="5"/>
  <c r="I935" i="5"/>
  <c r="H936" i="5"/>
  <c r="I936" i="5"/>
  <c r="H937" i="5"/>
  <c r="I937" i="5"/>
  <c r="H938" i="5"/>
  <c r="I938" i="5"/>
  <c r="H939" i="5"/>
  <c r="I939" i="5"/>
  <c r="H940" i="5"/>
  <c r="I940" i="5"/>
  <c r="H941" i="5"/>
  <c r="I941" i="5"/>
  <c r="H942" i="5"/>
  <c r="I942" i="5"/>
  <c r="H943" i="5"/>
  <c r="I943" i="5"/>
  <c r="H944" i="5"/>
  <c r="I944" i="5"/>
  <c r="H945" i="5"/>
  <c r="I945" i="5"/>
  <c r="H946" i="5"/>
  <c r="I946" i="5"/>
  <c r="H947" i="5"/>
  <c r="I947" i="5"/>
  <c r="H948" i="5"/>
  <c r="I948" i="5"/>
  <c r="H949" i="5"/>
  <c r="I949" i="5"/>
  <c r="H950" i="5"/>
  <c r="I950" i="5"/>
  <c r="H951" i="5"/>
  <c r="I951" i="5"/>
  <c r="H952" i="5"/>
  <c r="I952" i="5"/>
  <c r="H953" i="5"/>
  <c r="I953" i="5"/>
  <c r="H954" i="5"/>
  <c r="I954" i="5"/>
  <c r="H955" i="5"/>
  <c r="I955" i="5"/>
  <c r="H956" i="5"/>
  <c r="I956" i="5"/>
  <c r="H957" i="5"/>
  <c r="I957" i="5"/>
  <c r="H958" i="5"/>
  <c r="I958" i="5"/>
  <c r="H959" i="5"/>
  <c r="I959" i="5"/>
  <c r="H960" i="5"/>
  <c r="I960" i="5"/>
  <c r="H961" i="5"/>
  <c r="I961" i="5"/>
  <c r="H962" i="5"/>
  <c r="I962" i="5"/>
  <c r="H963" i="5"/>
  <c r="I963" i="5"/>
  <c r="H964" i="5"/>
  <c r="I964" i="5"/>
  <c r="H965" i="5"/>
  <c r="I965" i="5"/>
  <c r="H966" i="5"/>
  <c r="I966" i="5"/>
  <c r="H967" i="5"/>
  <c r="I967" i="5"/>
  <c r="H968" i="5"/>
  <c r="I968" i="5"/>
  <c r="H969" i="5"/>
  <c r="I969" i="5"/>
  <c r="H970" i="5"/>
  <c r="I970" i="5"/>
  <c r="H971" i="5"/>
  <c r="I971" i="5"/>
  <c r="H972" i="5"/>
  <c r="I972" i="5"/>
  <c r="H973" i="5"/>
  <c r="I973" i="5"/>
  <c r="H974" i="5"/>
  <c r="I974" i="5"/>
  <c r="H975" i="5"/>
  <c r="I975" i="5"/>
  <c r="H976" i="5"/>
  <c r="I976" i="5"/>
  <c r="H977" i="5"/>
  <c r="I977" i="5"/>
  <c r="H978" i="5"/>
  <c r="I978" i="5"/>
  <c r="H979" i="5"/>
  <c r="I979" i="5"/>
  <c r="H980" i="5"/>
  <c r="I980" i="5"/>
  <c r="H981" i="5"/>
  <c r="I981" i="5"/>
  <c r="H982" i="5"/>
  <c r="I982" i="5"/>
  <c r="H983" i="5"/>
  <c r="I983" i="5"/>
  <c r="H984" i="5"/>
  <c r="I984" i="5"/>
  <c r="H985" i="5"/>
  <c r="I985" i="5"/>
  <c r="H986" i="5"/>
  <c r="I986" i="5"/>
  <c r="H987" i="5"/>
  <c r="I987" i="5"/>
  <c r="H988" i="5"/>
  <c r="I988" i="5"/>
  <c r="H989" i="5"/>
  <c r="I989" i="5"/>
  <c r="H990" i="5"/>
  <c r="I990" i="5"/>
  <c r="H991" i="5"/>
  <c r="I991" i="5"/>
  <c r="H992" i="5"/>
  <c r="I992" i="5"/>
  <c r="H993" i="5"/>
  <c r="I993" i="5"/>
  <c r="H994" i="5"/>
  <c r="I994" i="5"/>
  <c r="H995" i="5"/>
  <c r="I995" i="5"/>
  <c r="H996" i="5"/>
  <c r="I996" i="5"/>
  <c r="H997" i="5"/>
  <c r="I997" i="5"/>
  <c r="H998" i="5"/>
  <c r="I998" i="5"/>
  <c r="H999" i="5"/>
  <c r="I999" i="5"/>
  <c r="H1000" i="5"/>
  <c r="I1000" i="5"/>
  <c r="H1001" i="5"/>
  <c r="I1001" i="5"/>
  <c r="H1002" i="5"/>
  <c r="I1002" i="5"/>
  <c r="H1003" i="5"/>
  <c r="I1003" i="5"/>
  <c r="H1004" i="5"/>
  <c r="I1004" i="5"/>
  <c r="H1005" i="5"/>
  <c r="I1005" i="5"/>
  <c r="H1006" i="5"/>
  <c r="I1006" i="5"/>
  <c r="H1007" i="5"/>
  <c r="I1007" i="5"/>
  <c r="H1008" i="5"/>
  <c r="I1008" i="5"/>
  <c r="H1009" i="5"/>
  <c r="I1009" i="5"/>
  <c r="H1010" i="5"/>
  <c r="I1010" i="5"/>
  <c r="H1011" i="5"/>
  <c r="I1011" i="5"/>
  <c r="H1012" i="5"/>
  <c r="I1012" i="5"/>
  <c r="H1013" i="5"/>
  <c r="I1013" i="5"/>
  <c r="H1014" i="5"/>
  <c r="I1014" i="5"/>
  <c r="H1015" i="5"/>
  <c r="I1015" i="5"/>
  <c r="H1016" i="5"/>
  <c r="I1016" i="5"/>
  <c r="H1017" i="5"/>
  <c r="I1017" i="5"/>
  <c r="H1018" i="5"/>
  <c r="I1018" i="5"/>
  <c r="H1019" i="5"/>
  <c r="I1019" i="5"/>
  <c r="H1020" i="5"/>
  <c r="I1020" i="5"/>
  <c r="H1021" i="5"/>
  <c r="I1021" i="5"/>
  <c r="H1022" i="5"/>
  <c r="I1022" i="5"/>
  <c r="H1023" i="5"/>
  <c r="I1023" i="5"/>
  <c r="H1024" i="5"/>
  <c r="I1024" i="5"/>
  <c r="H1025" i="5"/>
  <c r="I1025" i="5"/>
  <c r="H1026" i="5"/>
  <c r="I1026" i="5"/>
  <c r="H1027" i="5"/>
  <c r="I1027" i="5"/>
  <c r="H1028" i="5"/>
  <c r="I1028" i="5"/>
  <c r="H1029" i="5"/>
  <c r="I1029" i="5"/>
  <c r="H1030" i="5"/>
  <c r="I1030" i="5"/>
  <c r="H1031" i="5"/>
  <c r="I1031" i="5"/>
  <c r="H1032" i="5"/>
  <c r="I1032" i="5"/>
  <c r="H1033" i="5"/>
  <c r="I1033" i="5"/>
  <c r="H1034" i="5"/>
  <c r="I1034" i="5"/>
  <c r="H1035" i="5"/>
  <c r="I1035" i="5"/>
  <c r="H1036" i="5"/>
  <c r="I1036" i="5"/>
  <c r="H1037" i="5"/>
  <c r="I1037" i="5"/>
  <c r="H1038" i="5"/>
  <c r="I1038" i="5"/>
  <c r="H1039" i="5"/>
  <c r="I1039" i="5"/>
  <c r="H1040" i="5"/>
  <c r="I1040" i="5"/>
  <c r="H1041" i="5"/>
  <c r="I1041" i="5"/>
  <c r="H1042" i="5"/>
  <c r="I1042" i="5"/>
  <c r="H1043" i="5"/>
  <c r="I1043" i="5"/>
  <c r="H1044" i="5"/>
  <c r="I1044" i="5"/>
  <c r="H1045" i="5"/>
  <c r="I1045" i="5"/>
  <c r="H1046" i="5"/>
  <c r="I1046" i="5"/>
  <c r="H1047" i="5"/>
  <c r="I1047" i="5"/>
  <c r="H1048" i="5"/>
  <c r="I1048" i="5"/>
  <c r="H1049" i="5"/>
  <c r="I1049" i="5"/>
  <c r="H1050" i="5"/>
  <c r="I1050" i="5"/>
  <c r="H1051" i="5"/>
  <c r="I1051" i="5"/>
  <c r="H1052" i="5"/>
  <c r="I1052" i="5"/>
  <c r="H1053" i="5"/>
  <c r="I1053" i="5"/>
  <c r="H1054" i="5"/>
  <c r="I1054" i="5"/>
  <c r="H1055" i="5"/>
  <c r="I1055" i="5"/>
  <c r="H1056" i="5"/>
  <c r="I1056" i="5"/>
  <c r="H1057" i="5"/>
  <c r="I1057" i="5"/>
  <c r="H1058" i="5"/>
  <c r="I1058" i="5"/>
  <c r="H1059" i="5"/>
  <c r="I1059" i="5"/>
  <c r="H1060" i="5"/>
  <c r="I1060" i="5"/>
  <c r="H1061" i="5"/>
  <c r="I1061" i="5"/>
  <c r="H1062" i="5"/>
  <c r="I1062" i="5"/>
  <c r="H1063" i="5"/>
  <c r="I1063" i="5"/>
  <c r="H1064" i="5"/>
  <c r="I1064" i="5"/>
  <c r="H1065" i="5"/>
  <c r="I1065" i="5"/>
  <c r="H1066" i="5"/>
  <c r="I1066" i="5"/>
  <c r="H1067" i="5"/>
  <c r="I1067" i="5"/>
  <c r="H1068" i="5"/>
  <c r="I1068" i="5"/>
  <c r="H1069" i="5"/>
  <c r="I1069" i="5"/>
  <c r="H1070" i="5"/>
  <c r="I1070" i="5"/>
  <c r="H1071" i="5"/>
  <c r="I1071" i="5"/>
  <c r="H1072" i="5"/>
  <c r="I1072" i="5"/>
  <c r="H1073" i="5"/>
  <c r="I1073" i="5"/>
  <c r="H1074" i="5"/>
  <c r="I1074" i="5"/>
  <c r="H1075" i="5"/>
  <c r="I1075" i="5"/>
  <c r="H1076" i="5"/>
  <c r="I1076" i="5"/>
  <c r="H1077" i="5"/>
  <c r="I1077" i="5"/>
  <c r="H1078" i="5"/>
  <c r="I1078" i="5"/>
  <c r="H1079" i="5"/>
  <c r="I1079" i="5"/>
  <c r="H1080" i="5"/>
  <c r="I1080" i="5"/>
  <c r="H1081" i="5"/>
  <c r="I1081" i="5"/>
  <c r="H1082" i="5"/>
  <c r="I1082" i="5"/>
  <c r="H1083" i="5"/>
  <c r="I1083" i="5"/>
  <c r="H1084" i="5"/>
  <c r="I1084" i="5"/>
  <c r="H1085" i="5"/>
  <c r="I1085" i="5"/>
  <c r="H1086" i="5"/>
  <c r="I1086" i="5"/>
  <c r="H1087" i="5"/>
  <c r="I1087" i="5"/>
  <c r="H1088" i="5"/>
  <c r="I1088" i="5"/>
  <c r="H1089" i="5"/>
  <c r="I1089" i="5"/>
  <c r="H1090" i="5"/>
  <c r="I1090" i="5"/>
  <c r="H1091" i="5"/>
  <c r="I1091" i="5"/>
  <c r="H1092" i="5"/>
  <c r="I1092" i="5"/>
  <c r="H1093" i="5"/>
  <c r="I1093" i="5"/>
  <c r="H1094" i="5"/>
  <c r="I1094" i="5"/>
  <c r="H1095" i="5"/>
  <c r="I1095" i="5"/>
  <c r="H1096" i="5"/>
  <c r="I1096" i="5"/>
  <c r="H1097" i="5"/>
  <c r="I1097" i="5"/>
  <c r="H1098" i="5"/>
  <c r="I1098" i="5"/>
  <c r="H1099" i="5"/>
  <c r="I1099" i="5"/>
  <c r="H1100" i="5"/>
  <c r="I1100" i="5"/>
  <c r="H1101" i="5"/>
  <c r="I1101" i="5"/>
  <c r="H1102" i="5"/>
  <c r="I1102" i="5"/>
  <c r="H1103" i="5"/>
  <c r="I1103" i="5"/>
  <c r="H1104" i="5"/>
  <c r="I1104" i="5"/>
  <c r="H1105" i="5"/>
  <c r="I1105" i="5"/>
  <c r="H1106" i="5"/>
  <c r="I1106" i="5"/>
  <c r="H1107" i="5"/>
  <c r="I1107" i="5"/>
  <c r="H1108" i="5"/>
  <c r="I1108" i="5"/>
  <c r="H1109" i="5"/>
  <c r="I1109" i="5"/>
  <c r="H1110" i="5"/>
  <c r="I1110" i="5"/>
  <c r="H1111" i="5"/>
  <c r="I1111" i="5"/>
  <c r="H1112" i="5"/>
  <c r="I1112" i="5"/>
  <c r="H1113" i="5"/>
  <c r="I1113" i="5"/>
  <c r="H1114" i="5"/>
  <c r="I1114" i="5"/>
  <c r="H1115" i="5"/>
  <c r="I1115" i="5"/>
  <c r="H1116" i="5"/>
  <c r="I1116" i="5"/>
  <c r="H1117" i="5"/>
  <c r="I1117" i="5"/>
  <c r="H1118" i="5"/>
  <c r="I1118" i="5"/>
  <c r="H1119" i="5"/>
  <c r="I1119" i="5"/>
  <c r="H1120" i="5"/>
  <c r="I1120" i="5"/>
  <c r="H1121" i="5"/>
  <c r="I1121" i="5"/>
  <c r="H1122" i="5"/>
  <c r="I1122" i="5"/>
  <c r="H1123" i="5"/>
  <c r="I1123" i="5"/>
  <c r="H1124" i="5"/>
  <c r="I1124" i="5"/>
  <c r="H1125" i="5"/>
  <c r="I1125" i="5"/>
  <c r="H1126" i="5"/>
  <c r="I1126" i="5"/>
  <c r="H1127" i="5"/>
  <c r="I1127" i="5"/>
  <c r="H1128" i="5"/>
  <c r="I1128" i="5"/>
  <c r="H1129" i="5"/>
  <c r="I1129" i="5"/>
  <c r="H1130" i="5"/>
  <c r="I1130" i="5"/>
  <c r="H1131" i="5"/>
  <c r="I1131" i="5"/>
  <c r="H1132" i="5"/>
  <c r="I1132" i="5"/>
  <c r="H1133" i="5"/>
  <c r="I1133" i="5"/>
  <c r="H1134" i="5"/>
  <c r="I1134" i="5"/>
  <c r="H1135" i="5"/>
  <c r="I1135" i="5"/>
  <c r="H1136" i="5"/>
  <c r="I1136" i="5"/>
  <c r="H1137" i="5"/>
  <c r="I1137" i="5"/>
  <c r="H1138" i="5"/>
  <c r="I1138" i="5"/>
  <c r="H1139" i="5"/>
  <c r="I1139" i="5"/>
  <c r="H1140" i="5"/>
  <c r="I1140" i="5"/>
  <c r="H1141" i="5"/>
  <c r="I1141" i="5"/>
  <c r="H1142" i="5"/>
  <c r="I1142" i="5"/>
  <c r="H1143" i="5"/>
  <c r="I1143" i="5"/>
  <c r="H1144" i="5"/>
  <c r="I1144" i="5"/>
  <c r="H1145" i="5"/>
  <c r="I1145" i="5"/>
  <c r="H1146" i="5"/>
  <c r="I1146" i="5"/>
  <c r="H1147" i="5"/>
  <c r="I1147" i="5"/>
  <c r="H1148" i="5"/>
  <c r="I1148" i="5"/>
  <c r="H1149" i="5"/>
  <c r="I1149" i="5"/>
  <c r="H1150" i="5"/>
  <c r="I1150" i="5"/>
  <c r="H1151" i="5"/>
  <c r="I1151" i="5"/>
  <c r="H1152" i="5"/>
  <c r="I1152" i="5"/>
  <c r="H1153" i="5"/>
  <c r="I1153" i="5"/>
  <c r="H1154" i="5"/>
  <c r="I1154" i="5"/>
  <c r="H1155" i="5"/>
  <c r="I1155" i="5"/>
  <c r="H1156" i="5"/>
  <c r="I1156" i="5"/>
  <c r="H1157" i="5"/>
  <c r="I1157" i="5"/>
  <c r="H1158" i="5"/>
  <c r="I1158" i="5"/>
  <c r="H1159" i="5"/>
  <c r="I1159" i="5"/>
  <c r="H1160" i="5"/>
  <c r="I1160" i="5"/>
  <c r="H1161" i="5"/>
  <c r="I1161" i="5"/>
  <c r="H1162" i="5"/>
  <c r="I1162" i="5"/>
  <c r="H1163" i="5"/>
  <c r="I1163" i="5"/>
  <c r="H1164" i="5"/>
  <c r="I1164" i="5"/>
  <c r="H1165" i="5"/>
  <c r="I1165" i="5"/>
  <c r="H1166" i="5"/>
  <c r="I1166" i="5"/>
  <c r="H1167" i="5"/>
  <c r="I1167" i="5"/>
  <c r="H1168" i="5"/>
  <c r="I1168" i="5"/>
  <c r="H1169" i="5"/>
  <c r="I1169" i="5"/>
  <c r="H1170" i="5"/>
  <c r="I1170" i="5"/>
  <c r="H1171" i="5"/>
  <c r="I1171" i="5"/>
  <c r="H1172" i="5"/>
  <c r="I1172" i="5"/>
  <c r="H1173" i="5"/>
  <c r="I1173" i="5"/>
  <c r="H1174" i="5"/>
  <c r="I1174" i="5"/>
  <c r="H1175" i="5"/>
  <c r="I1175" i="5"/>
  <c r="H1176" i="5"/>
  <c r="I1176" i="5"/>
  <c r="H1177" i="5"/>
  <c r="I1177" i="5"/>
  <c r="H1178" i="5"/>
  <c r="I1178" i="5"/>
  <c r="H1179" i="5"/>
  <c r="I1179" i="5"/>
  <c r="H1180" i="5"/>
  <c r="I1180" i="5"/>
  <c r="H1181" i="5"/>
  <c r="I1181" i="5"/>
  <c r="H1182" i="5"/>
  <c r="I1182" i="5"/>
  <c r="H1183" i="5"/>
  <c r="I1183" i="5"/>
  <c r="H1184" i="5"/>
  <c r="I1184" i="5"/>
  <c r="H1185" i="5"/>
  <c r="I1185" i="5"/>
  <c r="H1186" i="5"/>
  <c r="I1186" i="5"/>
  <c r="H1187" i="5"/>
  <c r="I1187" i="5"/>
  <c r="H1188" i="5"/>
  <c r="I1188" i="5"/>
  <c r="H1189" i="5"/>
  <c r="I1189" i="5"/>
  <c r="H1190" i="5"/>
  <c r="I1190" i="5"/>
  <c r="H1191" i="5"/>
  <c r="I1191" i="5"/>
  <c r="H1192" i="5"/>
  <c r="I1192" i="5"/>
  <c r="H1193" i="5"/>
  <c r="I1193" i="5"/>
  <c r="H1194" i="5"/>
  <c r="I1194" i="5"/>
  <c r="H1195" i="5"/>
  <c r="I1195" i="5"/>
  <c r="H1196" i="5"/>
  <c r="I1196" i="5"/>
  <c r="H1197" i="5"/>
  <c r="I1197" i="5"/>
  <c r="H1198" i="5"/>
  <c r="I1198" i="5"/>
  <c r="H1199" i="5"/>
  <c r="I1199" i="5"/>
  <c r="H1200" i="5"/>
  <c r="I1200" i="5"/>
  <c r="H1201" i="5"/>
  <c r="I1201" i="5"/>
  <c r="H1202" i="5"/>
  <c r="I1202" i="5"/>
  <c r="H1203" i="5"/>
  <c r="I1203" i="5"/>
  <c r="H1204" i="5"/>
  <c r="I1204" i="5"/>
  <c r="H1205" i="5"/>
  <c r="I1205" i="5"/>
  <c r="H1206" i="5"/>
  <c r="I1206" i="5"/>
  <c r="H1207" i="5"/>
  <c r="I1207" i="5"/>
  <c r="H1208" i="5"/>
  <c r="I1208" i="5"/>
  <c r="H1209" i="5"/>
  <c r="I1209" i="5"/>
  <c r="H1210" i="5"/>
  <c r="I1210" i="5"/>
  <c r="H1211" i="5"/>
  <c r="I1211" i="5"/>
  <c r="H1212" i="5"/>
  <c r="I1212" i="5"/>
  <c r="H1213" i="5"/>
  <c r="I1213" i="5"/>
  <c r="H1214" i="5"/>
  <c r="I1214" i="5"/>
  <c r="H1215" i="5"/>
  <c r="I1215" i="5"/>
  <c r="H1216" i="5"/>
  <c r="I1216" i="5"/>
  <c r="H1217" i="5"/>
  <c r="I1217" i="5"/>
  <c r="H1218" i="5"/>
  <c r="I1218" i="5"/>
  <c r="H1219" i="5"/>
  <c r="I1219" i="5"/>
  <c r="H1220" i="5"/>
  <c r="I1220" i="5"/>
  <c r="H1221" i="5"/>
  <c r="I1221" i="5"/>
  <c r="H1222" i="5"/>
  <c r="I1222" i="5"/>
  <c r="H1223" i="5"/>
  <c r="I1223" i="5"/>
  <c r="H1224" i="5"/>
  <c r="I1224" i="5"/>
  <c r="H1225" i="5"/>
  <c r="I1225" i="5"/>
  <c r="H1226" i="5"/>
  <c r="I1226" i="5"/>
  <c r="H1227" i="5"/>
  <c r="I1227" i="5"/>
  <c r="H1228" i="5"/>
  <c r="I1228" i="5"/>
  <c r="H1229" i="5"/>
  <c r="I1229" i="5"/>
  <c r="H1230" i="5"/>
  <c r="I1230" i="5"/>
  <c r="H1231" i="5"/>
  <c r="I1231" i="5"/>
  <c r="H1232" i="5"/>
  <c r="I1232" i="5"/>
  <c r="H1233" i="5"/>
  <c r="I1233" i="5"/>
  <c r="H1234" i="5"/>
  <c r="I1234" i="5"/>
  <c r="H1235" i="5"/>
  <c r="I1235" i="5"/>
  <c r="H1236" i="5"/>
  <c r="I1236" i="5"/>
  <c r="H1237" i="5"/>
  <c r="I1237" i="5"/>
  <c r="H1238" i="5"/>
  <c r="I1238" i="5"/>
  <c r="H1239" i="5"/>
  <c r="I1239" i="5"/>
  <c r="H1240" i="5"/>
  <c r="I1240" i="5"/>
  <c r="H1241" i="5"/>
  <c r="I1241" i="5"/>
  <c r="H1242" i="5"/>
  <c r="I1242" i="5"/>
  <c r="H1243" i="5"/>
  <c r="I1243" i="5"/>
  <c r="H1244" i="5"/>
  <c r="I1244" i="5"/>
  <c r="H1245" i="5"/>
  <c r="I1245" i="5"/>
  <c r="H1246" i="5"/>
  <c r="I1246" i="5"/>
  <c r="H1247" i="5"/>
  <c r="I1247" i="5"/>
  <c r="H1248" i="5"/>
  <c r="I1248" i="5"/>
  <c r="H1249" i="5"/>
  <c r="I1249" i="5"/>
  <c r="H1250" i="5"/>
  <c r="I1250" i="5"/>
  <c r="H1251" i="5"/>
  <c r="I1251" i="5"/>
  <c r="H1252" i="5"/>
  <c r="I1252" i="5"/>
  <c r="H1253" i="5"/>
  <c r="I1253" i="5"/>
  <c r="H1254" i="5"/>
  <c r="I1254" i="5"/>
  <c r="H1255" i="5"/>
  <c r="I1255" i="5"/>
  <c r="H1256" i="5"/>
  <c r="I1256" i="5"/>
  <c r="H1257" i="5"/>
  <c r="I1257" i="5"/>
  <c r="H1258" i="5"/>
  <c r="I1258" i="5"/>
  <c r="H1259" i="5"/>
  <c r="I1259" i="5"/>
  <c r="H1260" i="5"/>
  <c r="I1260" i="5"/>
  <c r="H1261" i="5"/>
  <c r="I1261" i="5"/>
  <c r="H1262" i="5"/>
  <c r="I1262" i="5"/>
  <c r="H1263" i="5"/>
  <c r="I1263" i="5"/>
  <c r="H1264" i="5"/>
  <c r="I1264" i="5"/>
  <c r="H1265" i="5"/>
  <c r="I1265" i="5"/>
  <c r="H1266" i="5"/>
  <c r="I1266" i="5"/>
  <c r="H1267" i="5"/>
  <c r="I1267" i="5"/>
  <c r="H1268" i="5"/>
  <c r="I1268" i="5"/>
  <c r="H1269" i="5"/>
  <c r="I1269" i="5"/>
  <c r="H1270" i="5"/>
  <c r="I1270" i="5"/>
  <c r="H1271" i="5"/>
  <c r="I1271" i="5"/>
  <c r="H1272" i="5"/>
  <c r="I1272" i="5"/>
  <c r="H1273" i="5"/>
  <c r="I1273" i="5"/>
  <c r="H1274" i="5"/>
  <c r="I1274" i="5"/>
  <c r="H1275" i="5"/>
  <c r="I1275" i="5"/>
  <c r="H1276" i="5"/>
  <c r="I1276" i="5"/>
  <c r="H1277" i="5"/>
  <c r="I1277" i="5"/>
  <c r="H1278" i="5"/>
  <c r="I1278" i="5"/>
  <c r="H1279" i="5"/>
  <c r="I1279" i="5"/>
  <c r="H1280" i="5"/>
  <c r="I1280" i="5"/>
  <c r="H1281" i="5"/>
  <c r="I1281" i="5"/>
  <c r="H1282" i="5"/>
  <c r="I1282" i="5"/>
  <c r="H1283" i="5"/>
  <c r="I1283" i="5"/>
  <c r="H1284" i="5"/>
  <c r="I1284" i="5"/>
  <c r="H1285" i="5"/>
  <c r="I1285" i="5"/>
  <c r="H1286" i="5"/>
  <c r="I1286" i="5"/>
  <c r="H1287" i="5"/>
  <c r="I1287" i="5"/>
  <c r="H1288" i="5"/>
  <c r="I1288" i="5"/>
  <c r="H1289" i="5"/>
  <c r="I1289" i="5"/>
  <c r="H1290" i="5"/>
  <c r="I1290" i="5"/>
  <c r="H1291" i="5"/>
  <c r="I1291" i="5"/>
  <c r="H1292" i="5"/>
  <c r="I1292" i="5"/>
  <c r="H1293" i="5"/>
  <c r="I1293" i="5"/>
  <c r="H1294" i="5"/>
  <c r="I1294" i="5"/>
  <c r="H1295" i="5"/>
  <c r="I1295" i="5"/>
  <c r="H1296" i="5"/>
  <c r="I1296" i="5"/>
  <c r="H1297" i="5"/>
  <c r="I1297" i="5"/>
  <c r="H1298" i="5"/>
  <c r="I1298" i="5"/>
  <c r="H1299" i="5"/>
  <c r="I1299" i="5"/>
  <c r="H1300" i="5"/>
  <c r="I1300" i="5"/>
  <c r="H1301" i="5"/>
  <c r="I1301" i="5"/>
  <c r="H1302" i="5"/>
  <c r="I1302" i="5"/>
  <c r="H1303" i="5"/>
  <c r="I1303" i="5"/>
  <c r="H1304" i="5"/>
  <c r="I1304" i="5"/>
  <c r="H1305" i="5"/>
  <c r="I1305" i="5"/>
  <c r="H1306" i="5"/>
  <c r="I1306" i="5"/>
  <c r="H1307" i="5"/>
  <c r="I1307" i="5"/>
  <c r="H1308" i="5"/>
  <c r="I1308" i="5"/>
  <c r="H1309" i="5"/>
  <c r="I1309" i="5"/>
  <c r="H1310" i="5"/>
  <c r="I1310" i="5"/>
  <c r="H1311" i="5"/>
  <c r="I1311" i="5"/>
  <c r="H1312" i="5"/>
  <c r="I1312" i="5"/>
  <c r="H1313" i="5"/>
  <c r="I1313" i="5"/>
  <c r="H1314" i="5"/>
  <c r="I1314" i="5"/>
  <c r="H1315" i="5"/>
  <c r="I1315" i="5"/>
  <c r="H1316" i="5"/>
  <c r="I1316" i="5"/>
  <c r="H1317" i="5"/>
  <c r="I1317" i="5"/>
  <c r="H1318" i="5"/>
  <c r="I1318" i="5"/>
  <c r="H1319" i="5"/>
  <c r="I1319" i="5"/>
  <c r="H1320" i="5"/>
  <c r="I1320" i="5"/>
  <c r="H1321" i="5"/>
  <c r="I1321" i="5"/>
  <c r="H1322" i="5"/>
  <c r="I1322" i="5"/>
  <c r="H1323" i="5"/>
  <c r="I1323" i="5"/>
  <c r="H1324" i="5"/>
  <c r="I1324" i="5"/>
  <c r="H1325" i="5"/>
  <c r="I1325" i="5"/>
  <c r="H1326" i="5"/>
  <c r="I1326" i="5"/>
  <c r="H1327" i="5"/>
  <c r="I1327" i="5"/>
  <c r="H1328" i="5"/>
  <c r="I1328" i="5"/>
  <c r="H1329" i="5"/>
  <c r="I1329" i="5"/>
  <c r="H1330" i="5"/>
  <c r="I1330" i="5"/>
  <c r="H1331" i="5"/>
  <c r="I1331" i="5"/>
  <c r="H1332" i="5"/>
  <c r="I1332" i="5"/>
  <c r="H1333" i="5"/>
  <c r="I1333" i="5"/>
  <c r="H1334" i="5"/>
  <c r="I1334" i="5"/>
  <c r="H1335" i="5"/>
  <c r="I1335" i="5"/>
  <c r="H1336" i="5"/>
  <c r="I1336" i="5"/>
  <c r="H1337" i="5"/>
  <c r="I1337" i="5"/>
  <c r="H1338" i="5"/>
  <c r="I1338" i="5"/>
  <c r="H1339" i="5"/>
  <c r="I1339" i="5"/>
  <c r="H1340" i="5"/>
  <c r="I1340" i="5"/>
  <c r="H1341" i="5"/>
  <c r="I1341" i="5"/>
  <c r="H1342" i="5"/>
  <c r="I1342" i="5"/>
  <c r="H1343" i="5"/>
  <c r="I1343" i="5"/>
  <c r="H1344" i="5"/>
  <c r="I1344" i="5"/>
  <c r="H1345" i="5"/>
  <c r="I1345" i="5"/>
  <c r="H1346" i="5"/>
  <c r="I1346" i="5"/>
  <c r="H1347" i="5"/>
  <c r="I1347" i="5"/>
  <c r="H1348" i="5"/>
  <c r="I1348" i="5"/>
  <c r="H1349" i="5"/>
  <c r="I1349" i="5"/>
  <c r="H1350" i="5"/>
  <c r="I1350" i="5"/>
  <c r="H1351" i="5"/>
  <c r="I1351" i="5"/>
  <c r="H1352" i="5"/>
  <c r="I1352" i="5"/>
  <c r="H1353" i="5"/>
  <c r="I1353" i="5"/>
  <c r="H1354" i="5"/>
  <c r="I1354" i="5"/>
  <c r="H1355" i="5"/>
  <c r="I1355" i="5"/>
  <c r="H1356" i="5"/>
  <c r="I1356" i="5"/>
  <c r="H1357" i="5"/>
  <c r="I1357" i="5"/>
  <c r="H1358" i="5"/>
  <c r="I1358" i="5"/>
  <c r="H1359" i="5"/>
  <c r="I1359" i="5"/>
  <c r="H1360" i="5"/>
  <c r="I1360" i="5"/>
  <c r="H1361" i="5"/>
  <c r="I1361" i="5"/>
  <c r="H1362" i="5"/>
  <c r="I1362" i="5"/>
  <c r="H1363" i="5"/>
  <c r="I1363" i="5"/>
  <c r="H1364" i="5"/>
  <c r="I1364" i="5"/>
  <c r="H1365" i="5"/>
  <c r="I1365" i="5"/>
  <c r="H1366" i="5"/>
  <c r="I1366" i="5"/>
  <c r="H1367" i="5"/>
  <c r="I1367" i="5"/>
  <c r="H1368" i="5"/>
  <c r="I1368" i="5"/>
  <c r="H1369" i="5"/>
  <c r="I1369" i="5"/>
  <c r="H1370" i="5"/>
  <c r="I1370" i="5"/>
  <c r="H1371" i="5"/>
  <c r="I1371" i="5"/>
  <c r="H1372" i="5"/>
  <c r="I1372" i="5"/>
  <c r="H1373" i="5"/>
  <c r="I1373" i="5"/>
  <c r="H1374" i="5"/>
  <c r="I1374" i="5"/>
  <c r="H1375" i="5"/>
  <c r="I1375" i="5"/>
  <c r="H1376" i="5"/>
  <c r="I1376" i="5"/>
  <c r="H1377" i="5"/>
  <c r="I1377" i="5"/>
  <c r="H1378" i="5"/>
  <c r="I1378" i="5"/>
  <c r="H1379" i="5"/>
  <c r="I1379" i="5"/>
  <c r="H1380" i="5"/>
  <c r="I1380" i="5"/>
  <c r="H1381" i="5"/>
  <c r="I1381" i="5"/>
  <c r="H1382" i="5"/>
  <c r="I1382" i="5"/>
  <c r="H1383" i="5"/>
  <c r="I1383" i="5"/>
  <c r="H1384" i="5"/>
  <c r="I1384" i="5"/>
  <c r="H1385" i="5"/>
  <c r="I1385" i="5"/>
  <c r="H1386" i="5"/>
  <c r="I1386" i="5"/>
  <c r="H1387" i="5"/>
  <c r="I1387" i="5"/>
  <c r="H1388" i="5"/>
  <c r="I1388" i="5"/>
  <c r="H1389" i="5"/>
  <c r="I1389" i="5"/>
  <c r="H1390" i="5"/>
  <c r="I1390" i="5"/>
  <c r="H1391" i="5"/>
  <c r="I1391" i="5"/>
  <c r="H1392" i="5"/>
  <c r="I1392" i="5"/>
  <c r="H1393" i="5"/>
  <c r="I1393" i="5"/>
  <c r="H1394" i="5"/>
  <c r="I1394" i="5"/>
  <c r="H1395" i="5"/>
  <c r="I1395" i="5"/>
  <c r="H1396" i="5"/>
  <c r="I1396" i="5"/>
  <c r="H1397" i="5"/>
  <c r="I1397" i="5"/>
  <c r="H1398" i="5"/>
  <c r="I1398" i="5"/>
  <c r="H1399" i="5"/>
  <c r="I1399" i="5"/>
  <c r="H1400" i="5"/>
  <c r="I1400" i="5"/>
  <c r="H1401" i="5"/>
  <c r="I1401" i="5"/>
  <c r="H1402" i="5"/>
  <c r="I1402" i="5"/>
  <c r="H1403" i="5"/>
  <c r="I1403" i="5"/>
  <c r="H1404" i="5"/>
  <c r="I1404" i="5"/>
  <c r="H1405" i="5"/>
  <c r="I1405" i="5"/>
  <c r="H1406" i="5"/>
  <c r="I1406" i="5"/>
  <c r="H1407" i="5"/>
  <c r="I1407" i="5"/>
  <c r="H1408" i="5"/>
  <c r="I1408" i="5"/>
  <c r="H1409" i="5"/>
  <c r="I1409" i="5"/>
  <c r="H1410" i="5"/>
  <c r="I1410" i="5"/>
  <c r="H1411" i="5"/>
  <c r="I1411" i="5"/>
  <c r="H1412" i="5"/>
  <c r="I1412" i="5"/>
  <c r="H1413" i="5"/>
  <c r="I1413" i="5"/>
  <c r="H1414" i="5"/>
  <c r="I1414" i="5"/>
  <c r="H1415" i="5"/>
  <c r="I1415" i="5"/>
  <c r="H1416" i="5"/>
  <c r="I1416" i="5"/>
  <c r="H1417" i="5"/>
  <c r="I1417" i="5"/>
  <c r="H1418" i="5"/>
  <c r="I1418" i="5"/>
  <c r="H1419" i="5"/>
  <c r="I1419" i="5"/>
  <c r="H1420" i="5"/>
  <c r="I1420" i="5"/>
  <c r="H1421" i="5"/>
  <c r="I1421" i="5"/>
  <c r="H1422" i="5"/>
  <c r="I1422" i="5"/>
  <c r="H1423" i="5"/>
  <c r="I1423" i="5"/>
  <c r="H1424" i="5"/>
  <c r="I1424" i="5"/>
  <c r="H1425" i="5"/>
  <c r="I1425" i="5"/>
  <c r="H1426" i="5"/>
  <c r="I1426" i="5"/>
  <c r="H1427" i="5"/>
  <c r="I1427" i="5"/>
  <c r="H1428" i="5"/>
  <c r="I1428" i="5"/>
  <c r="H1429" i="5"/>
  <c r="I1429" i="5"/>
  <c r="H1430" i="5"/>
  <c r="I1430" i="5"/>
  <c r="H1431" i="5"/>
  <c r="I1431" i="5"/>
  <c r="H1432" i="5"/>
  <c r="I1432" i="5"/>
  <c r="H1433" i="5"/>
  <c r="I1433" i="5"/>
  <c r="H1434" i="5"/>
  <c r="I1434" i="5"/>
  <c r="H1435" i="5"/>
  <c r="I1435" i="5"/>
  <c r="H1436" i="5"/>
  <c r="I1436" i="5"/>
  <c r="H1437" i="5"/>
  <c r="I1437" i="5"/>
  <c r="H1438" i="5"/>
  <c r="I1438" i="5"/>
  <c r="H1439" i="5"/>
  <c r="I1439" i="5"/>
  <c r="H1440" i="5"/>
  <c r="I1440" i="5"/>
  <c r="H1441" i="5"/>
  <c r="I1441" i="5"/>
  <c r="H1442" i="5"/>
  <c r="I1442" i="5"/>
  <c r="H1443" i="5"/>
  <c r="I1443" i="5"/>
  <c r="H1444" i="5"/>
  <c r="I1444" i="5"/>
  <c r="H1445" i="5"/>
  <c r="I1445" i="5"/>
  <c r="H1446" i="5"/>
  <c r="I1446" i="5"/>
  <c r="H1447" i="5"/>
  <c r="I1447" i="5"/>
  <c r="H1448" i="5"/>
  <c r="I1448" i="5"/>
  <c r="H1449" i="5"/>
  <c r="I1449" i="5"/>
  <c r="H1450" i="5"/>
  <c r="I1450" i="5"/>
  <c r="H1451" i="5"/>
  <c r="I1451" i="5"/>
  <c r="H1452" i="5"/>
  <c r="I1452" i="5"/>
  <c r="H1453" i="5"/>
  <c r="I1453" i="5"/>
  <c r="H1454" i="5"/>
  <c r="I1454" i="5"/>
  <c r="H1455" i="5"/>
  <c r="I1455" i="5"/>
  <c r="H1456" i="5"/>
  <c r="I1456" i="5"/>
  <c r="H1457" i="5"/>
  <c r="I1457" i="5"/>
  <c r="H1458" i="5"/>
  <c r="I1458" i="5"/>
  <c r="H1459" i="5"/>
  <c r="I1459" i="5"/>
  <c r="H1460" i="5"/>
  <c r="I1460" i="5"/>
  <c r="H1461" i="5"/>
  <c r="I1461" i="5"/>
  <c r="H1462" i="5"/>
  <c r="I1462" i="5"/>
  <c r="H1463" i="5"/>
  <c r="I1463" i="5"/>
  <c r="H1464" i="5"/>
  <c r="I1464" i="5"/>
  <c r="H1465" i="5"/>
  <c r="I1465" i="5"/>
  <c r="H1466" i="5"/>
  <c r="I1466" i="5"/>
  <c r="H1467" i="5"/>
  <c r="I1467" i="5"/>
  <c r="H1468" i="5"/>
  <c r="I1468" i="5"/>
  <c r="H1469" i="5"/>
  <c r="I1469" i="5"/>
  <c r="H1470" i="5"/>
  <c r="I1470" i="5"/>
  <c r="H1471" i="5"/>
  <c r="I1471" i="5"/>
  <c r="H1472" i="5"/>
  <c r="I1472" i="5"/>
  <c r="H1473" i="5"/>
  <c r="I1473" i="5"/>
  <c r="H1474" i="5"/>
  <c r="I1474" i="5"/>
  <c r="H1475" i="5"/>
  <c r="I1475" i="5"/>
  <c r="H1476" i="5"/>
  <c r="I1476" i="5"/>
  <c r="H1477" i="5"/>
  <c r="I1477" i="5"/>
  <c r="H1478" i="5"/>
  <c r="I1478" i="5"/>
  <c r="H1479" i="5"/>
  <c r="I1479" i="5"/>
  <c r="H1480" i="5"/>
  <c r="I1480" i="5"/>
  <c r="H1481" i="5"/>
  <c r="I1481" i="5"/>
  <c r="H1482" i="5"/>
  <c r="I1482" i="5"/>
  <c r="H1483" i="5"/>
  <c r="I1483" i="5"/>
  <c r="H1484" i="5"/>
  <c r="I1484" i="5"/>
  <c r="H1485" i="5"/>
  <c r="I1485" i="5"/>
  <c r="H1486" i="5"/>
  <c r="I1486" i="5"/>
  <c r="H1487" i="5"/>
  <c r="I1487" i="5"/>
  <c r="H1488" i="5"/>
  <c r="I1488" i="5"/>
  <c r="H1489" i="5"/>
  <c r="I1489" i="5"/>
  <c r="H1490" i="5"/>
  <c r="I1490" i="5"/>
  <c r="H1491" i="5"/>
  <c r="I1491" i="5"/>
  <c r="H1492" i="5"/>
  <c r="I1492" i="5"/>
  <c r="H1493" i="5"/>
  <c r="I1493" i="5"/>
  <c r="H1494" i="5"/>
  <c r="I1494" i="5"/>
  <c r="H1495" i="5"/>
  <c r="I1495" i="5"/>
  <c r="H1496" i="5"/>
  <c r="I1496" i="5"/>
  <c r="H1497" i="5"/>
  <c r="I1497" i="5"/>
  <c r="H1498" i="5"/>
  <c r="I1498" i="5"/>
  <c r="H1499" i="5"/>
  <c r="I1499" i="5"/>
  <c r="H1500" i="5"/>
  <c r="I1500" i="5"/>
  <c r="H1501" i="5"/>
  <c r="I1501" i="5"/>
  <c r="H1502" i="5"/>
  <c r="I1502" i="5"/>
  <c r="H1503" i="5"/>
  <c r="I1503" i="5"/>
  <c r="H1504" i="5"/>
  <c r="I1504" i="5"/>
  <c r="H1505" i="5"/>
  <c r="I1505" i="5"/>
  <c r="H1506" i="5"/>
  <c r="I1506" i="5"/>
  <c r="H1507" i="5"/>
  <c r="I1507" i="5"/>
  <c r="H1508" i="5"/>
  <c r="I1508" i="5"/>
  <c r="H1509" i="5"/>
  <c r="I1509" i="5"/>
  <c r="H1510" i="5"/>
  <c r="I1510" i="5"/>
  <c r="H1511" i="5"/>
  <c r="I1511" i="5"/>
  <c r="H1512" i="5"/>
  <c r="I1512" i="5"/>
  <c r="H1513" i="5"/>
  <c r="I1513" i="5"/>
  <c r="H1514" i="5"/>
  <c r="I1514" i="5"/>
  <c r="H1515" i="5"/>
  <c r="I1515" i="5"/>
  <c r="H1516" i="5"/>
  <c r="I1516" i="5"/>
  <c r="H1517" i="5"/>
  <c r="I1517" i="5"/>
  <c r="H1518" i="5"/>
  <c r="I1518" i="5"/>
  <c r="H1519" i="5"/>
  <c r="I1519" i="5"/>
  <c r="H1520" i="5"/>
  <c r="I1520" i="5"/>
  <c r="H1521" i="5"/>
  <c r="I1521" i="5"/>
  <c r="H1522" i="5"/>
  <c r="I1522" i="5"/>
  <c r="H1523" i="5"/>
  <c r="I1523" i="5"/>
  <c r="H1524" i="5"/>
  <c r="I1524" i="5"/>
  <c r="H1525" i="5"/>
  <c r="I1525" i="5"/>
  <c r="H1526" i="5"/>
  <c r="I1526" i="5"/>
  <c r="H1527" i="5"/>
  <c r="I1527" i="5"/>
  <c r="H1528" i="5"/>
  <c r="I1528" i="5"/>
  <c r="H1529" i="5"/>
  <c r="I1529" i="5"/>
  <c r="H1530" i="5"/>
  <c r="I1530" i="5"/>
  <c r="H1531" i="5"/>
  <c r="I1531" i="5"/>
  <c r="H1532" i="5"/>
  <c r="I1532" i="5"/>
  <c r="H1533" i="5"/>
  <c r="I1533" i="5"/>
  <c r="H1534" i="5"/>
  <c r="I1534" i="5"/>
  <c r="H1535" i="5"/>
  <c r="I1535" i="5"/>
  <c r="H1536" i="5"/>
  <c r="I1536" i="5"/>
  <c r="H1537" i="5"/>
  <c r="I1537" i="5"/>
  <c r="H1538" i="5"/>
  <c r="I1538" i="5"/>
  <c r="H1539" i="5"/>
  <c r="I1539" i="5"/>
  <c r="H1540" i="5"/>
  <c r="I1540" i="5"/>
  <c r="H1541" i="5"/>
  <c r="I1541" i="5"/>
  <c r="H1542" i="5"/>
  <c r="I1542" i="5"/>
  <c r="H1543" i="5"/>
  <c r="I1543" i="5"/>
  <c r="H1544" i="5"/>
  <c r="I1544" i="5"/>
  <c r="H1545" i="5"/>
  <c r="I1545" i="5"/>
  <c r="H1546" i="5"/>
  <c r="I1546" i="5"/>
  <c r="H1547" i="5"/>
  <c r="I1547" i="5"/>
  <c r="H1548" i="5"/>
  <c r="I1548" i="5"/>
  <c r="H1549" i="5"/>
  <c r="I1549" i="5"/>
  <c r="H1550" i="5"/>
  <c r="I1550" i="5"/>
  <c r="H1551" i="5"/>
  <c r="I1551" i="5"/>
  <c r="H1552" i="5"/>
  <c r="I1552" i="5"/>
  <c r="H1553" i="5"/>
  <c r="I1553" i="5"/>
  <c r="H1554" i="5"/>
  <c r="I1554" i="5"/>
  <c r="H1555" i="5"/>
  <c r="I1555" i="5"/>
  <c r="H1556" i="5"/>
  <c r="I1556" i="5"/>
  <c r="H1557" i="5"/>
  <c r="I1557" i="5"/>
  <c r="H1558" i="5"/>
  <c r="I1558" i="5"/>
  <c r="H1559" i="5"/>
  <c r="I1559" i="5"/>
  <c r="H1560" i="5"/>
  <c r="I1560" i="5"/>
  <c r="H1561" i="5"/>
  <c r="I1561" i="5"/>
  <c r="H1562" i="5"/>
  <c r="I1562" i="5"/>
  <c r="H1563" i="5"/>
  <c r="I1563" i="5"/>
  <c r="H1564" i="5"/>
  <c r="I1564" i="5"/>
  <c r="H1565" i="5"/>
  <c r="I1565" i="5"/>
  <c r="H1566" i="5"/>
  <c r="I1566" i="5"/>
  <c r="H1567" i="5"/>
  <c r="I1567" i="5"/>
  <c r="H1568" i="5"/>
  <c r="I1568" i="5"/>
  <c r="H1569" i="5"/>
  <c r="I1569" i="5"/>
  <c r="H1570" i="5"/>
  <c r="I1570" i="5"/>
  <c r="H1571" i="5"/>
  <c r="I1571" i="5"/>
  <c r="H1572" i="5"/>
  <c r="I1572" i="5"/>
  <c r="H1573" i="5"/>
  <c r="I1573" i="5"/>
  <c r="H1574" i="5"/>
  <c r="I1574" i="5"/>
  <c r="H1575" i="5"/>
  <c r="I1575" i="5"/>
  <c r="H1576" i="5"/>
  <c r="I1576" i="5"/>
  <c r="H1577" i="5"/>
  <c r="I1577" i="5"/>
  <c r="H1578" i="5"/>
  <c r="I1578" i="5"/>
  <c r="H1579" i="5"/>
  <c r="I1579" i="5"/>
  <c r="H1580" i="5"/>
  <c r="I1580" i="5"/>
  <c r="H1581" i="5"/>
  <c r="I1581" i="5"/>
  <c r="H1582" i="5"/>
  <c r="I1582" i="5"/>
  <c r="H1583" i="5"/>
  <c r="I1583" i="5"/>
  <c r="H1584" i="5"/>
  <c r="I1584" i="5"/>
  <c r="H1585" i="5"/>
  <c r="I1585" i="5"/>
  <c r="H1586" i="5"/>
  <c r="I1586" i="5"/>
  <c r="H1587" i="5"/>
  <c r="I1587" i="5"/>
  <c r="H1588" i="5"/>
  <c r="I1588" i="5"/>
  <c r="H1589" i="5"/>
  <c r="I1589" i="5"/>
  <c r="H1590" i="5"/>
  <c r="I1590" i="5"/>
  <c r="H1591" i="5"/>
  <c r="I1591" i="5"/>
  <c r="H1592" i="5"/>
  <c r="I1592" i="5"/>
  <c r="H1593" i="5"/>
  <c r="I1593" i="5"/>
  <c r="H1594" i="5"/>
  <c r="I1594" i="5"/>
  <c r="H1595" i="5"/>
  <c r="I1595" i="5"/>
  <c r="H1596" i="5"/>
  <c r="I1596" i="5"/>
  <c r="H1597" i="5"/>
  <c r="I1597" i="5"/>
  <c r="H1598" i="5"/>
  <c r="I1598" i="5"/>
  <c r="H1599" i="5"/>
  <c r="I1599" i="5"/>
  <c r="H1600" i="5"/>
  <c r="I1600" i="5"/>
  <c r="H1601" i="5"/>
  <c r="I1601" i="5"/>
  <c r="H1602" i="5"/>
  <c r="I1602" i="5"/>
  <c r="H1603" i="5"/>
  <c r="I1603" i="5"/>
  <c r="H1604" i="5"/>
  <c r="I1604" i="5"/>
  <c r="H1605" i="5"/>
  <c r="I1605" i="5"/>
  <c r="H1606" i="5"/>
  <c r="I1606" i="5"/>
  <c r="H1607" i="5"/>
  <c r="I1607" i="5"/>
  <c r="H1608" i="5"/>
  <c r="I1608" i="5"/>
  <c r="H1609" i="5"/>
  <c r="I1609" i="5"/>
  <c r="H1610" i="5"/>
  <c r="I1610" i="5"/>
  <c r="H1611" i="5"/>
  <c r="I1611" i="5"/>
  <c r="H1612" i="5"/>
  <c r="I1612" i="5"/>
  <c r="H1613" i="5"/>
  <c r="I1613" i="5"/>
  <c r="H1614" i="5"/>
  <c r="I1614" i="5"/>
  <c r="H1615" i="5"/>
  <c r="I1615" i="5"/>
  <c r="H1616" i="5"/>
  <c r="I1616" i="5"/>
  <c r="H1617" i="5"/>
  <c r="I1617" i="5"/>
  <c r="H1618" i="5"/>
  <c r="I1618" i="5"/>
  <c r="H1619" i="5"/>
  <c r="I1619" i="5"/>
  <c r="H1620" i="5"/>
  <c r="I1620" i="5"/>
  <c r="H1621" i="5"/>
  <c r="I1621" i="5"/>
  <c r="H1622" i="5"/>
  <c r="I1622" i="5"/>
  <c r="H1623" i="5"/>
  <c r="I1623" i="5"/>
  <c r="H1624" i="5"/>
  <c r="I1624" i="5"/>
  <c r="H1625" i="5"/>
  <c r="I1625" i="5"/>
  <c r="H1626" i="5"/>
  <c r="I1626" i="5"/>
  <c r="H1627" i="5"/>
  <c r="I1627" i="5"/>
  <c r="H1628" i="5"/>
  <c r="I1628" i="5"/>
  <c r="H1629" i="5"/>
  <c r="I1629" i="5"/>
  <c r="H1630" i="5"/>
  <c r="I1630" i="5"/>
  <c r="H1631" i="5"/>
  <c r="I1631" i="5"/>
  <c r="H1632" i="5"/>
  <c r="I1632" i="5"/>
  <c r="H1633" i="5"/>
  <c r="I1633" i="5"/>
  <c r="H1634" i="5"/>
  <c r="I1634" i="5"/>
  <c r="H1635" i="5"/>
  <c r="I1635" i="5"/>
  <c r="H1636" i="5"/>
  <c r="I1636" i="5"/>
  <c r="H1637" i="5"/>
  <c r="I1637" i="5"/>
  <c r="H1638" i="5"/>
  <c r="I1638" i="5"/>
  <c r="H1639" i="5"/>
  <c r="I1639" i="5"/>
  <c r="H1640" i="5"/>
  <c r="I1640" i="5"/>
  <c r="H1641" i="5"/>
  <c r="I1641" i="5"/>
  <c r="H1642" i="5"/>
  <c r="I1642" i="5"/>
  <c r="H1643" i="5"/>
  <c r="I1643" i="5"/>
  <c r="H1644" i="5"/>
  <c r="I1644" i="5"/>
  <c r="H1645" i="5"/>
  <c r="I1645" i="5"/>
  <c r="H1646" i="5"/>
  <c r="I1646" i="5"/>
  <c r="H1647" i="5"/>
  <c r="I1647" i="5"/>
  <c r="H1648" i="5"/>
  <c r="I1648" i="5"/>
  <c r="H1649" i="5"/>
  <c r="I1649" i="5"/>
  <c r="H1650" i="5"/>
  <c r="I1650" i="5"/>
  <c r="H1651" i="5"/>
  <c r="I1651" i="5"/>
  <c r="H1652" i="5"/>
  <c r="I1652" i="5"/>
  <c r="H1653" i="5"/>
  <c r="I1653" i="5"/>
  <c r="H1654" i="5"/>
  <c r="I1654" i="5"/>
  <c r="H1655" i="5"/>
  <c r="I1655" i="5"/>
  <c r="H1656" i="5"/>
  <c r="I1656" i="5"/>
  <c r="H1657" i="5"/>
  <c r="I1657" i="5"/>
  <c r="H1658" i="5"/>
  <c r="I1658" i="5"/>
  <c r="H1659" i="5"/>
  <c r="I1659" i="5"/>
  <c r="H1660" i="5"/>
  <c r="I1660" i="5"/>
  <c r="H1661" i="5"/>
  <c r="I1661" i="5"/>
  <c r="H1662" i="5"/>
  <c r="I1662" i="5"/>
  <c r="H1663" i="5"/>
  <c r="I1663" i="5"/>
  <c r="H1664" i="5"/>
  <c r="I1664" i="5"/>
  <c r="H1665" i="5"/>
  <c r="I1665" i="5"/>
  <c r="H1666" i="5"/>
  <c r="I1666" i="5"/>
  <c r="H1667" i="5"/>
  <c r="I1667" i="5"/>
  <c r="H1668" i="5"/>
  <c r="I1668" i="5"/>
  <c r="H1669" i="5"/>
  <c r="I1669" i="5"/>
  <c r="H1670" i="5"/>
  <c r="I1670" i="5"/>
  <c r="H1671" i="5"/>
  <c r="I1671" i="5"/>
  <c r="H1672" i="5"/>
  <c r="I1672" i="5"/>
  <c r="H1673" i="5"/>
  <c r="I1673" i="5"/>
  <c r="H1674" i="5"/>
  <c r="I1674" i="5"/>
  <c r="H1675" i="5"/>
  <c r="I1675" i="5"/>
  <c r="H1676" i="5"/>
  <c r="I1676" i="5"/>
  <c r="H1677" i="5"/>
  <c r="I1677" i="5"/>
  <c r="H1678" i="5"/>
  <c r="I1678" i="5"/>
  <c r="H1679" i="5"/>
  <c r="I1679" i="5"/>
  <c r="H1680" i="5"/>
  <c r="I1680" i="5"/>
  <c r="H1681" i="5"/>
  <c r="I1681" i="5"/>
  <c r="H1682" i="5"/>
  <c r="I1682" i="5"/>
  <c r="H1683" i="5"/>
  <c r="I1683" i="5"/>
  <c r="H1684" i="5"/>
  <c r="I1684" i="5"/>
  <c r="H1685" i="5"/>
  <c r="I1685" i="5"/>
  <c r="H1686" i="5"/>
  <c r="I1686" i="5"/>
  <c r="H1687" i="5"/>
  <c r="I1687" i="5"/>
  <c r="H1688" i="5"/>
  <c r="I1688" i="5"/>
  <c r="H1689" i="5"/>
  <c r="I1689" i="5"/>
  <c r="H1690" i="5"/>
  <c r="I1690" i="5"/>
  <c r="H1691" i="5"/>
  <c r="I1691" i="5"/>
  <c r="H1692" i="5"/>
  <c r="I1692" i="5"/>
  <c r="H1693" i="5"/>
  <c r="I1693" i="5"/>
  <c r="H1694" i="5"/>
  <c r="I1694" i="5"/>
  <c r="H1695" i="5"/>
  <c r="I1695" i="5"/>
  <c r="H1696" i="5"/>
  <c r="I1696" i="5"/>
  <c r="H1697" i="5"/>
  <c r="I1697" i="5"/>
  <c r="H1698" i="5"/>
  <c r="I1698" i="5"/>
  <c r="H1699" i="5"/>
  <c r="I1699" i="5"/>
  <c r="H1700" i="5"/>
  <c r="I1700" i="5"/>
  <c r="H1701" i="5"/>
  <c r="I1701" i="5"/>
  <c r="H1702" i="5"/>
  <c r="I1702" i="5"/>
  <c r="H1703" i="5"/>
  <c r="I1703" i="5"/>
  <c r="H1704" i="5"/>
  <c r="I1704" i="5"/>
  <c r="H1705" i="5"/>
  <c r="I1705" i="5"/>
  <c r="H1706" i="5"/>
  <c r="I1706" i="5"/>
  <c r="H1707" i="5"/>
  <c r="I1707" i="5"/>
  <c r="H1708" i="5"/>
  <c r="I1708" i="5"/>
  <c r="H1709" i="5"/>
  <c r="I1709" i="5"/>
  <c r="H1710" i="5"/>
  <c r="I1710" i="5"/>
  <c r="H1711" i="5"/>
  <c r="I1711" i="5"/>
  <c r="H1712" i="5"/>
  <c r="I1712" i="5"/>
  <c r="H1713" i="5"/>
  <c r="I1713" i="5"/>
  <c r="H1714" i="5"/>
  <c r="I1714" i="5"/>
  <c r="H1715" i="5"/>
  <c r="I1715" i="5"/>
  <c r="H1716" i="5"/>
  <c r="I1716" i="5"/>
  <c r="H1717" i="5"/>
  <c r="I1717" i="5"/>
  <c r="H1718" i="5"/>
  <c r="I1718" i="5"/>
  <c r="H1719" i="5"/>
  <c r="I1719" i="5"/>
  <c r="H1720" i="5"/>
  <c r="I1720" i="5"/>
  <c r="H1721" i="5"/>
  <c r="I1721" i="5"/>
  <c r="H1722" i="5"/>
  <c r="I1722" i="5"/>
  <c r="H1723" i="5"/>
  <c r="I1723" i="5"/>
  <c r="H1724" i="5"/>
  <c r="I1724" i="5"/>
  <c r="H1725" i="5"/>
  <c r="I1725" i="5"/>
  <c r="H1726" i="5"/>
  <c r="I1726" i="5"/>
  <c r="H1727" i="5"/>
  <c r="I1727" i="5"/>
  <c r="H1728" i="5"/>
  <c r="I1728" i="5"/>
  <c r="H1729" i="5"/>
  <c r="I1729" i="5"/>
  <c r="H1730" i="5"/>
  <c r="I1730" i="5"/>
  <c r="H1731" i="5"/>
  <c r="I1731" i="5"/>
  <c r="H1732" i="5"/>
  <c r="I1732" i="5"/>
  <c r="H1733" i="5"/>
  <c r="I1733" i="5"/>
  <c r="H1734" i="5"/>
  <c r="I1734" i="5"/>
  <c r="H1735" i="5"/>
  <c r="I1735" i="5"/>
  <c r="H1736" i="5"/>
  <c r="I1736" i="5"/>
  <c r="H1737" i="5"/>
  <c r="I1737" i="5"/>
  <c r="H1738" i="5"/>
  <c r="I1738" i="5"/>
  <c r="H1739" i="5"/>
  <c r="I1739" i="5"/>
  <c r="H1740" i="5"/>
  <c r="I1740" i="5"/>
  <c r="H1741" i="5"/>
  <c r="I1741" i="5"/>
  <c r="H1742" i="5"/>
  <c r="I1742" i="5"/>
  <c r="H1743" i="5"/>
  <c r="I1743" i="5"/>
  <c r="H1744" i="5"/>
  <c r="I1744" i="5"/>
  <c r="H1745" i="5"/>
  <c r="I1745" i="5"/>
  <c r="H1746" i="5"/>
  <c r="I1746" i="5"/>
  <c r="H1747" i="5"/>
  <c r="I1747" i="5"/>
  <c r="H1748" i="5"/>
  <c r="I1748" i="5"/>
  <c r="H1749" i="5"/>
  <c r="I1749" i="5"/>
  <c r="H1750" i="5"/>
  <c r="I1750" i="5"/>
  <c r="H1751" i="5"/>
  <c r="I1751" i="5"/>
  <c r="H1752" i="5"/>
  <c r="I1752" i="5"/>
  <c r="H1753" i="5"/>
  <c r="I1753" i="5"/>
  <c r="H1754" i="5"/>
  <c r="I1754" i="5"/>
  <c r="H1755" i="5"/>
  <c r="I1755" i="5"/>
  <c r="H1756" i="5"/>
  <c r="I1756" i="5"/>
  <c r="H1757" i="5"/>
  <c r="I1757" i="5"/>
  <c r="H1758" i="5"/>
  <c r="I1758" i="5"/>
  <c r="H1759" i="5"/>
  <c r="I1759" i="5"/>
  <c r="H1760" i="5"/>
  <c r="I1760" i="5"/>
  <c r="H1761" i="5"/>
  <c r="I1761" i="5"/>
  <c r="H1762" i="5"/>
  <c r="I1762" i="5"/>
  <c r="H1763" i="5"/>
  <c r="I1763" i="5"/>
  <c r="H1764" i="5"/>
  <c r="I1764" i="5"/>
  <c r="H1765" i="5"/>
  <c r="I1765" i="5"/>
  <c r="H1766" i="5"/>
  <c r="I1766" i="5"/>
  <c r="H1767" i="5"/>
  <c r="I1767" i="5"/>
  <c r="F830" i="5" a="1"/>
  <c r="F830" i="5" s="1"/>
  <c r="F829" i="5" a="1"/>
  <c r="F829" i="5" s="1"/>
  <c r="F828" i="5" a="1"/>
  <c r="F828" i="5" s="1"/>
  <c r="F827" i="5" a="1"/>
  <c r="F827" i="5" s="1"/>
  <c r="F826" i="5" a="1"/>
  <c r="F826" i="5" s="1"/>
  <c r="F825" i="5" a="1"/>
  <c r="F825" i="5" s="1"/>
  <c r="U14" i="8"/>
  <c r="U13" i="8"/>
  <c r="U12" i="8"/>
  <c r="U11" i="8"/>
  <c r="U10" i="8"/>
  <c r="U9" i="8"/>
  <c r="U8" i="8"/>
  <c r="U7" i="8"/>
  <c r="U6" i="8"/>
  <c r="U5" i="8"/>
  <c r="U4" i="8"/>
  <c r="U3" i="8"/>
  <c r="T14" i="8"/>
  <c r="T13" i="8"/>
  <c r="T12" i="8"/>
  <c r="T11" i="8"/>
  <c r="T10" i="8"/>
  <c r="T9" i="8"/>
  <c r="T8" i="8"/>
  <c r="T7" i="8"/>
  <c r="T6" i="8"/>
  <c r="T5" i="8"/>
  <c r="T4" i="8"/>
  <c r="T3" i="8"/>
  <c r="S14" i="8"/>
  <c r="S13" i="8"/>
  <c r="S12" i="8"/>
  <c r="S11" i="8"/>
  <c r="S10" i="8"/>
  <c r="S9" i="8"/>
  <c r="S8" i="8"/>
  <c r="S7" i="8"/>
  <c r="S6" i="8"/>
  <c r="S5" i="8"/>
  <c r="S4" i="8"/>
  <c r="S3" i="8"/>
  <c r="R14" i="8"/>
  <c r="R13" i="8"/>
  <c r="R12" i="8"/>
  <c r="R11" i="8"/>
  <c r="R10" i="8"/>
  <c r="R9" i="8"/>
  <c r="R8" i="8"/>
  <c r="R7" i="8"/>
  <c r="R6" i="8"/>
  <c r="R5" i="8"/>
  <c r="R4" i="8"/>
  <c r="R3" i="8"/>
  <c r="Q14" i="8"/>
  <c r="Q13" i="8"/>
  <c r="Q12" i="8"/>
  <c r="Q11" i="8"/>
  <c r="Q10" i="8"/>
  <c r="Q9" i="8"/>
  <c r="Q8" i="8"/>
  <c r="Q7" i="8"/>
  <c r="Q6" i="8"/>
  <c r="Q5" i="8"/>
  <c r="Q4" i="8"/>
  <c r="Q3" i="8"/>
  <c r="Q5" i="7"/>
  <c r="U14" i="7"/>
  <c r="U13" i="7"/>
  <c r="U12" i="7"/>
  <c r="U11" i="7"/>
  <c r="U10" i="7"/>
  <c r="U9" i="7"/>
  <c r="U8" i="7"/>
  <c r="U7" i="7"/>
  <c r="U6" i="7"/>
  <c r="U5" i="7"/>
  <c r="U4" i="7"/>
  <c r="U3" i="7"/>
  <c r="T14" i="7"/>
  <c r="T13" i="7"/>
  <c r="T12" i="7"/>
  <c r="T11" i="7"/>
  <c r="T10" i="7"/>
  <c r="T9" i="7"/>
  <c r="T8" i="7"/>
  <c r="T7" i="7"/>
  <c r="T6" i="7"/>
  <c r="T5" i="7"/>
  <c r="T4" i="7"/>
  <c r="T3" i="7"/>
  <c r="S14" i="7"/>
  <c r="S13" i="7"/>
  <c r="S12" i="7"/>
  <c r="S11" i="7"/>
  <c r="S10" i="7"/>
  <c r="S9" i="7"/>
  <c r="S8" i="7"/>
  <c r="S7" i="7"/>
  <c r="S6" i="7"/>
  <c r="S5" i="7"/>
  <c r="S4" i="7"/>
  <c r="S3" i="7"/>
  <c r="R14" i="7"/>
  <c r="R13" i="7"/>
  <c r="R12" i="7"/>
  <c r="R11" i="7"/>
  <c r="R10" i="7"/>
  <c r="R9" i="7"/>
  <c r="R8" i="7"/>
  <c r="R7" i="7"/>
  <c r="R6" i="7"/>
  <c r="R5" i="7"/>
  <c r="R4" i="7"/>
  <c r="R3" i="7"/>
  <c r="Q14" i="7"/>
  <c r="Q13" i="7"/>
  <c r="Q12" i="7"/>
  <c r="Q11" i="7"/>
  <c r="Q10" i="7"/>
  <c r="Q9" i="7"/>
  <c r="Q8" i="7"/>
  <c r="Q7" i="7"/>
  <c r="Q6" i="7"/>
  <c r="Q4" i="7"/>
  <c r="Q3" i="7"/>
  <c r="I5" i="7"/>
  <c r="I4" i="7"/>
  <c r="H600" i="6"/>
  <c r="F600" i="6" a="1"/>
  <c r="F600" i="6" s="1"/>
  <c r="I600" i="6" s="1"/>
  <c r="V14" i="7" l="1"/>
  <c r="V6" i="7"/>
  <c r="V7" i="7"/>
  <c r="V12" i="7"/>
  <c r="V3" i="7"/>
  <c r="V13" i="7"/>
  <c r="V11" i="8"/>
  <c r="V3" i="8"/>
  <c r="V7" i="8"/>
  <c r="V10" i="8"/>
  <c r="V6" i="8"/>
  <c r="V14" i="8"/>
  <c r="V5" i="8"/>
  <c r="V12" i="8"/>
  <c r="V9" i="8"/>
  <c r="V13" i="8"/>
  <c r="V8" i="8"/>
  <c r="S15" i="8"/>
  <c r="V4" i="8"/>
  <c r="U15" i="8"/>
  <c r="V8" i="7"/>
  <c r="V10" i="7"/>
  <c r="V9" i="7"/>
  <c r="V11" i="7"/>
  <c r="V4" i="7"/>
  <c r="V5" i="7"/>
  <c r="T15" i="8"/>
  <c r="R15" i="8"/>
  <c r="Q15" i="8"/>
  <c r="U15" i="7"/>
  <c r="R15" i="7"/>
  <c r="S15" i="7"/>
  <c r="T15" i="7"/>
  <c r="Q15" i="7"/>
  <c r="V15" i="8" l="1"/>
  <c r="V15" i="7"/>
  <c r="H365" i="6" l="1"/>
  <c r="F365" i="6" a="1"/>
  <c r="F365" i="6" s="1"/>
  <c r="I365" i="6" s="1"/>
  <c r="H113" i="6"/>
  <c r="F113" i="6" a="1"/>
  <c r="F113" i="6" s="1"/>
  <c r="I113" i="6" s="1"/>
  <c r="H112" i="6"/>
  <c r="F112" i="6" a="1"/>
  <c r="F112" i="6" s="1"/>
  <c r="I112" i="6" s="1"/>
  <c r="H111" i="6"/>
  <c r="F111" i="6" a="1"/>
  <c r="F111" i="6" s="1"/>
  <c r="I111" i="6" s="1"/>
  <c r="H108" i="6"/>
  <c r="F108" i="6" a="1"/>
  <c r="F108" i="6" s="1"/>
  <c r="I108" i="6" s="1"/>
  <c r="E62" i="7"/>
  <c r="D62" i="7"/>
  <c r="C62" i="7"/>
  <c r="B62" i="7"/>
  <c r="E61" i="7"/>
  <c r="D61" i="7"/>
  <c r="C61" i="7"/>
  <c r="B61" i="7"/>
  <c r="E60" i="7"/>
  <c r="D60" i="7"/>
  <c r="C60" i="7"/>
  <c r="B60" i="7"/>
  <c r="E59" i="7"/>
  <c r="D59" i="7"/>
  <c r="C59" i="7"/>
  <c r="B59" i="7"/>
  <c r="E58" i="7"/>
  <c r="D58" i="7"/>
  <c r="C58" i="7"/>
  <c r="B58" i="7"/>
  <c r="E57" i="7"/>
  <c r="D57" i="7"/>
  <c r="C57" i="7"/>
  <c r="B57" i="7"/>
  <c r="E56" i="7"/>
  <c r="D56" i="7"/>
  <c r="C56" i="7"/>
  <c r="B56" i="7"/>
  <c r="E55" i="7"/>
  <c r="D55" i="7"/>
  <c r="C55" i="7"/>
  <c r="B55" i="7"/>
  <c r="E54" i="7"/>
  <c r="D54" i="7"/>
  <c r="C54" i="7"/>
  <c r="B54" i="7"/>
  <c r="E53" i="7"/>
  <c r="D53" i="7"/>
  <c r="C53" i="7"/>
  <c r="B53" i="7"/>
  <c r="E52" i="7"/>
  <c r="D52" i="7"/>
  <c r="C52" i="7"/>
  <c r="B52" i="7"/>
  <c r="E51" i="7"/>
  <c r="D51" i="7"/>
  <c r="C51" i="7"/>
  <c r="B51" i="7"/>
  <c r="L46" i="7"/>
  <c r="K46" i="7"/>
  <c r="J46" i="7"/>
  <c r="I46" i="7"/>
  <c r="L45" i="7"/>
  <c r="K45" i="7"/>
  <c r="J45" i="7"/>
  <c r="I45" i="7"/>
  <c r="L44" i="7"/>
  <c r="K44" i="7"/>
  <c r="J44" i="7"/>
  <c r="I44" i="7"/>
  <c r="L43" i="7"/>
  <c r="K43" i="7"/>
  <c r="J43" i="7"/>
  <c r="I43" i="7"/>
  <c r="L42" i="7"/>
  <c r="K42" i="7"/>
  <c r="J42" i="7"/>
  <c r="I42" i="7"/>
  <c r="L41" i="7"/>
  <c r="K41" i="7"/>
  <c r="J41" i="7"/>
  <c r="I41" i="7"/>
  <c r="L40" i="7"/>
  <c r="K40" i="7"/>
  <c r="J40" i="7"/>
  <c r="I40" i="7"/>
  <c r="L39" i="7"/>
  <c r="K39" i="7"/>
  <c r="J39" i="7"/>
  <c r="I39" i="7"/>
  <c r="L38" i="7"/>
  <c r="K38" i="7"/>
  <c r="J38" i="7"/>
  <c r="I38" i="7"/>
  <c r="L37" i="7"/>
  <c r="K37" i="7"/>
  <c r="J37" i="7"/>
  <c r="I37" i="7"/>
  <c r="L36" i="7"/>
  <c r="K36" i="7"/>
  <c r="J36" i="7"/>
  <c r="I36" i="7"/>
  <c r="L35" i="7"/>
  <c r="K35" i="7"/>
  <c r="J35" i="7"/>
  <c r="I35" i="7"/>
  <c r="E46" i="7"/>
  <c r="D46" i="7"/>
  <c r="C46" i="7"/>
  <c r="B46" i="7"/>
  <c r="E45" i="7"/>
  <c r="D45" i="7"/>
  <c r="C45" i="7"/>
  <c r="B45" i="7"/>
  <c r="E44" i="7"/>
  <c r="D44" i="7"/>
  <c r="C44" i="7"/>
  <c r="B44" i="7"/>
  <c r="E43" i="7"/>
  <c r="D43" i="7"/>
  <c r="C43" i="7"/>
  <c r="B43" i="7"/>
  <c r="E42" i="7"/>
  <c r="D42" i="7"/>
  <c r="C42" i="7"/>
  <c r="B42" i="7"/>
  <c r="E41" i="7"/>
  <c r="D41" i="7"/>
  <c r="C41" i="7"/>
  <c r="B41" i="7"/>
  <c r="E40" i="7"/>
  <c r="D40" i="7"/>
  <c r="C40" i="7"/>
  <c r="B40" i="7"/>
  <c r="E39" i="7"/>
  <c r="D39" i="7"/>
  <c r="C39" i="7"/>
  <c r="B39" i="7"/>
  <c r="E38" i="7"/>
  <c r="D38" i="7"/>
  <c r="C38" i="7"/>
  <c r="B38" i="7"/>
  <c r="E37" i="7"/>
  <c r="D37" i="7"/>
  <c r="C37" i="7"/>
  <c r="B37" i="7"/>
  <c r="E36" i="7"/>
  <c r="D36" i="7"/>
  <c r="C36" i="7"/>
  <c r="B36" i="7"/>
  <c r="E35" i="7"/>
  <c r="D35" i="7"/>
  <c r="C35" i="7"/>
  <c r="B35" i="7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B46" i="8"/>
  <c r="B45" i="8"/>
  <c r="B44" i="8"/>
  <c r="B43" i="8"/>
  <c r="B42" i="8"/>
  <c r="B41" i="8"/>
  <c r="B40" i="8"/>
  <c r="B39" i="8"/>
  <c r="B38" i="8"/>
  <c r="B37" i="8"/>
  <c r="B36" i="8"/>
  <c r="B35" i="8"/>
  <c r="E62" i="8"/>
  <c r="D62" i="8"/>
  <c r="C62" i="8"/>
  <c r="B62" i="8"/>
  <c r="E61" i="8"/>
  <c r="D61" i="8"/>
  <c r="C61" i="8"/>
  <c r="B61" i="8"/>
  <c r="E60" i="8"/>
  <c r="D60" i="8"/>
  <c r="C60" i="8"/>
  <c r="B60" i="8"/>
  <c r="E59" i="8"/>
  <c r="D59" i="8"/>
  <c r="C59" i="8"/>
  <c r="B59" i="8"/>
  <c r="E58" i="8"/>
  <c r="D58" i="8"/>
  <c r="C58" i="8"/>
  <c r="B58" i="8"/>
  <c r="E57" i="8"/>
  <c r="D57" i="8"/>
  <c r="C57" i="8"/>
  <c r="B57" i="8"/>
  <c r="E56" i="8"/>
  <c r="D56" i="8"/>
  <c r="C56" i="8"/>
  <c r="B56" i="8"/>
  <c r="E55" i="8"/>
  <c r="D55" i="8"/>
  <c r="C55" i="8"/>
  <c r="B55" i="8"/>
  <c r="E54" i="8"/>
  <c r="D54" i="8"/>
  <c r="C54" i="8"/>
  <c r="B54" i="8"/>
  <c r="E53" i="8"/>
  <c r="D53" i="8"/>
  <c r="C53" i="8"/>
  <c r="B53" i="8"/>
  <c r="E52" i="8"/>
  <c r="D52" i="8"/>
  <c r="C52" i="8"/>
  <c r="B52" i="8"/>
  <c r="E51" i="8"/>
  <c r="D51" i="8"/>
  <c r="C51" i="8"/>
  <c r="B51" i="8"/>
  <c r="L46" i="8"/>
  <c r="L45" i="8"/>
  <c r="L44" i="8"/>
  <c r="L43" i="8"/>
  <c r="L42" i="8"/>
  <c r="L41" i="8"/>
  <c r="L40" i="8"/>
  <c r="L39" i="8"/>
  <c r="L38" i="8"/>
  <c r="L37" i="8"/>
  <c r="L36" i="8"/>
  <c r="L35" i="8"/>
  <c r="K46" i="8"/>
  <c r="K45" i="8"/>
  <c r="K44" i="8"/>
  <c r="K43" i="8"/>
  <c r="K42" i="8"/>
  <c r="K41" i="8"/>
  <c r="K40" i="8"/>
  <c r="K39" i="8"/>
  <c r="K38" i="8"/>
  <c r="K37" i="8"/>
  <c r="K36" i="8"/>
  <c r="K35" i="8"/>
  <c r="J46" i="8"/>
  <c r="J45" i="8"/>
  <c r="J44" i="8"/>
  <c r="J43" i="8"/>
  <c r="J42" i="8"/>
  <c r="J41" i="8"/>
  <c r="J40" i="8"/>
  <c r="J39" i="8"/>
  <c r="J38" i="8"/>
  <c r="J37" i="8"/>
  <c r="J36" i="8"/>
  <c r="J35" i="8"/>
  <c r="I46" i="8"/>
  <c r="I45" i="8"/>
  <c r="I44" i="8"/>
  <c r="I43" i="8"/>
  <c r="I42" i="8"/>
  <c r="I41" i="8"/>
  <c r="I40" i="8"/>
  <c r="I39" i="8"/>
  <c r="I38" i="8"/>
  <c r="I37" i="8"/>
  <c r="I36" i="8"/>
  <c r="I35" i="8"/>
  <c r="F615" i="5" a="1"/>
  <c r="F615" i="5" s="1"/>
  <c r="I615" i="5" s="1"/>
  <c r="H615" i="5"/>
  <c r="F612" i="5" a="1"/>
  <c r="F612" i="5" s="1"/>
  <c r="F613" i="5" a="1"/>
  <c r="F613" i="5" s="1"/>
  <c r="F614" i="5" a="1"/>
  <c r="F614" i="5" s="1"/>
  <c r="F617" i="5" a="1"/>
  <c r="F617" i="5" s="1"/>
  <c r="F619" i="5" a="1"/>
  <c r="F619" i="5" s="1"/>
  <c r="F620" i="5" a="1"/>
  <c r="F620" i="5" s="1"/>
  <c r="F621" i="5" a="1"/>
  <c r="F621" i="5" s="1"/>
  <c r="F622" i="5" a="1"/>
  <c r="F622" i="5" s="1"/>
  <c r="F624" i="5" a="1"/>
  <c r="F624" i="5" s="1"/>
  <c r="F625" i="5" a="1"/>
  <c r="F625" i="5" s="1"/>
  <c r="F626" i="5" a="1"/>
  <c r="F626" i="5" s="1"/>
  <c r="F627" i="5" a="1"/>
  <c r="F627" i="5" s="1"/>
  <c r="F628" i="5" a="1"/>
  <c r="F628" i="5" s="1"/>
  <c r="F629" i="5" a="1"/>
  <c r="F629" i="5" s="1"/>
  <c r="F630" i="5" a="1"/>
  <c r="F630" i="5" s="1"/>
  <c r="F631" i="5" a="1"/>
  <c r="F631" i="5" s="1"/>
  <c r="F633" i="5" a="1"/>
  <c r="F633" i="5" s="1"/>
  <c r="F640" i="5" a="1"/>
  <c r="F640" i="5" s="1"/>
  <c r="F641" i="5" a="1"/>
  <c r="F641" i="5" s="1"/>
  <c r="F642" i="5" a="1"/>
  <c r="F642" i="5" s="1"/>
  <c r="F643" i="5" a="1"/>
  <c r="F643" i="5" s="1"/>
  <c r="F645" i="5" a="1"/>
  <c r="F645" i="5" s="1"/>
  <c r="F646" i="5" a="1"/>
  <c r="F646" i="5" s="1"/>
  <c r="F647" i="5" a="1"/>
  <c r="F647" i="5" s="1"/>
  <c r="F648" i="5" a="1"/>
  <c r="F648" i="5" s="1"/>
  <c r="F649" i="5" a="1"/>
  <c r="F649" i="5" s="1"/>
  <c r="F650" i="5" a="1"/>
  <c r="F650" i="5" s="1"/>
  <c r="F652" i="5" a="1"/>
  <c r="F652" i="5" s="1"/>
  <c r="F653" i="5" a="1"/>
  <c r="F653" i="5" s="1"/>
  <c r="F654" i="5" a="1"/>
  <c r="F654" i="5" s="1"/>
  <c r="F656" i="5" a="1"/>
  <c r="F656" i="5" s="1"/>
  <c r="F663" i="5" a="1"/>
  <c r="F663" i="5" s="1"/>
  <c r="F673" i="5" a="1"/>
  <c r="F673" i="5" s="1"/>
  <c r="F676" i="5" a="1"/>
  <c r="F676" i="5" s="1"/>
  <c r="F611" i="5" a="1"/>
  <c r="F611" i="5" s="1"/>
  <c r="F610" i="5" a="1"/>
  <c r="F610" i="5" s="1"/>
  <c r="F609" i="5" a="1"/>
  <c r="F609" i="5" s="1"/>
  <c r="F608" i="5" a="1"/>
  <c r="F608" i="5" s="1"/>
  <c r="F607" i="5" a="1"/>
  <c r="F607" i="5" s="1"/>
  <c r="F605" i="5" a="1"/>
  <c r="F605" i="5" s="1"/>
  <c r="F604" i="5" a="1"/>
  <c r="F604" i="5" s="1"/>
  <c r="F603" i="5" a="1"/>
  <c r="F603" i="5" s="1"/>
  <c r="F600" i="5" a="1"/>
  <c r="F600" i="5" s="1"/>
  <c r="F599" i="5" a="1"/>
  <c r="F599" i="5" s="1"/>
  <c r="F598" i="5" a="1"/>
  <c r="F598" i="5" s="1"/>
  <c r="F597" i="5" a="1"/>
  <c r="F597" i="5" s="1"/>
  <c r="F596" i="5" a="1"/>
  <c r="F596" i="5" s="1"/>
  <c r="F595" i="5" a="1"/>
  <c r="F595" i="5" s="1"/>
  <c r="F583" i="5" a="1"/>
  <c r="F583" i="5" s="1"/>
  <c r="F582" i="5" a="1"/>
  <c r="F582" i="5" s="1"/>
  <c r="F581" i="5" a="1"/>
  <c r="F581" i="5" s="1"/>
  <c r="F580" i="5" a="1"/>
  <c r="F580" i="5" s="1"/>
  <c r="F579" i="5" a="1"/>
  <c r="F579" i="5" s="1"/>
  <c r="F578" i="5" a="1"/>
  <c r="F578" i="5" s="1"/>
  <c r="F577" i="5" a="1"/>
  <c r="F577" i="5" s="1"/>
  <c r="F576" i="5" a="1"/>
  <c r="F576" i="5" s="1"/>
  <c r="H399" i="5"/>
  <c r="F399" i="5" a="1"/>
  <c r="F399" i="5" s="1"/>
  <c r="I399" i="5" s="1"/>
  <c r="F601" i="5" a="1"/>
  <c r="F601" i="5" s="1"/>
  <c r="F602" i="5" a="1"/>
  <c r="F602" i="5" s="1"/>
  <c r="F616" i="5" a="1"/>
  <c r="F616" i="5" s="1"/>
  <c r="F618" i="5" a="1"/>
  <c r="F618" i="5" s="1"/>
  <c r="F637" i="5" a="1"/>
  <c r="F637" i="5" s="1"/>
  <c r="F638" i="5" a="1"/>
  <c r="F638" i="5" s="1"/>
  <c r="F639" i="5" a="1"/>
  <c r="F639" i="5" s="1"/>
  <c r="F445" i="5" a="1"/>
  <c r="F445" i="5" s="1"/>
  <c r="F569" i="5" a="1"/>
  <c r="F569" i="5" s="1"/>
  <c r="F410" i="5" a="1"/>
  <c r="F410" i="5" s="1"/>
  <c r="F411" i="5" a="1"/>
  <c r="F411" i="5" s="1"/>
  <c r="F412" i="5" a="1"/>
  <c r="F412" i="5" s="1"/>
  <c r="F414" i="5" a="1"/>
  <c r="F414" i="5" s="1"/>
  <c r="F443" i="5" a="1"/>
  <c r="F443" i="5" s="1"/>
  <c r="F444" i="5" a="1"/>
  <c r="F444" i="5" s="1"/>
  <c r="F507" i="5" a="1"/>
  <c r="F507" i="5" s="1"/>
  <c r="F518" i="5" a="1"/>
  <c r="F518" i="5" s="1"/>
  <c r="F519" i="5" a="1"/>
  <c r="F519" i="5" s="1"/>
  <c r="F526" i="5" a="1"/>
  <c r="F526" i="5" s="1"/>
  <c r="F537" i="5" a="1"/>
  <c r="F537" i="5" s="1"/>
  <c r="F540" i="5" a="1"/>
  <c r="F540" i="5" s="1"/>
  <c r="F544" i="5" a="1"/>
  <c r="F544" i="5" s="1"/>
  <c r="F546" i="5" a="1"/>
  <c r="F546" i="5" s="1"/>
  <c r="F547" i="5" a="1"/>
  <c r="F547" i="5" s="1"/>
  <c r="F548" i="5" a="1"/>
  <c r="F548" i="5" s="1"/>
  <c r="F550" i="5" a="1"/>
  <c r="F550" i="5" s="1"/>
  <c r="F551" i="5" a="1"/>
  <c r="F551" i="5" s="1"/>
  <c r="F552" i="5" a="1"/>
  <c r="F552" i="5" s="1"/>
  <c r="F553" i="5" a="1"/>
  <c r="F553" i="5" s="1"/>
  <c r="F554" i="5" a="1"/>
  <c r="F554" i="5" s="1"/>
  <c r="F555" i="5" a="1"/>
  <c r="F555" i="5" s="1"/>
  <c r="F556" i="5" a="1"/>
  <c r="F556" i="5" s="1"/>
  <c r="F557" i="5" a="1"/>
  <c r="F557" i="5" s="1"/>
  <c r="F558" i="5" a="1"/>
  <c r="F558" i="5" s="1"/>
  <c r="F562" i="5" a="1"/>
  <c r="F562" i="5" s="1"/>
  <c r="F563" i="5" a="1"/>
  <c r="F563" i="5" s="1"/>
  <c r="F564" i="5" a="1"/>
  <c r="F564" i="5" s="1"/>
  <c r="F567" i="5" a="1"/>
  <c r="F567" i="5" s="1"/>
  <c r="F568" i="5" a="1"/>
  <c r="F568" i="5" s="1"/>
  <c r="F570" i="5" a="1"/>
  <c r="F570" i="5" s="1"/>
  <c r="F572" i="5" a="1"/>
  <c r="F572" i="5" s="1"/>
  <c r="F573" i="5" a="1"/>
  <c r="F573" i="5" s="1"/>
  <c r="F574" i="5" a="1"/>
  <c r="F574" i="5" s="1"/>
  <c r="F514" i="5" a="1"/>
  <c r="F514" i="5" s="1"/>
  <c r="F515" i="5" a="1"/>
  <c r="F515" i="5" s="1"/>
  <c r="F516" i="5" a="1"/>
  <c r="F516" i="5" s="1"/>
  <c r="F517" i="5" a="1"/>
  <c r="F517" i="5" s="1"/>
  <c r="F520" i="5" a="1"/>
  <c r="F520" i="5" s="1"/>
  <c r="F521" i="5" a="1"/>
  <c r="F521" i="5" s="1"/>
  <c r="F522" i="5" a="1"/>
  <c r="F522" i="5" s="1"/>
  <c r="F523" i="5" a="1"/>
  <c r="F523" i="5" s="1"/>
  <c r="F524" i="5" a="1"/>
  <c r="F524" i="5" s="1"/>
  <c r="F525" i="5" a="1"/>
  <c r="F525" i="5" s="1"/>
  <c r="F528" i="5" a="1"/>
  <c r="F528" i="5" s="1"/>
  <c r="F529" i="5" a="1"/>
  <c r="F529" i="5" s="1"/>
  <c r="F531" i="5" a="1"/>
  <c r="F531" i="5" s="1"/>
  <c r="F532" i="5" a="1"/>
  <c r="F532" i="5" s="1"/>
  <c r="F533" i="5" a="1"/>
  <c r="F533" i="5" s="1"/>
  <c r="F534" i="5" a="1"/>
  <c r="F534" i="5" s="1"/>
  <c r="F535" i="5" a="1"/>
  <c r="F535" i="5" s="1"/>
  <c r="F536" i="5" a="1"/>
  <c r="F536" i="5" s="1"/>
  <c r="F538" i="5" a="1"/>
  <c r="F538" i="5" s="1"/>
  <c r="F539" i="5" a="1"/>
  <c r="F539" i="5" s="1"/>
  <c r="F541" i="5" a="1"/>
  <c r="F541" i="5" s="1"/>
  <c r="F542" i="5" a="1"/>
  <c r="F542" i="5" s="1"/>
  <c r="F543" i="5" a="1"/>
  <c r="F543" i="5" s="1"/>
  <c r="F545" i="5" a="1"/>
  <c r="F545" i="5" s="1"/>
  <c r="F549" i="5" a="1"/>
  <c r="F549" i="5" s="1"/>
  <c r="F559" i="5" a="1"/>
  <c r="F559" i="5" s="1"/>
  <c r="F560" i="5" a="1"/>
  <c r="F560" i="5" s="1"/>
  <c r="F561" i="5" a="1"/>
  <c r="F561" i="5" s="1"/>
  <c r="F565" i="5" a="1"/>
  <c r="F565" i="5" s="1"/>
  <c r="F566" i="5" a="1"/>
  <c r="F566" i="5" s="1"/>
  <c r="F442" i="5" a="1"/>
  <c r="F442" i="5" s="1"/>
  <c r="F470" i="5" a="1"/>
  <c r="F470" i="5" s="1"/>
  <c r="F471" i="5" a="1"/>
  <c r="F471" i="5" s="1"/>
  <c r="F472" i="5" a="1"/>
  <c r="F472" i="5" s="1"/>
  <c r="F473" i="5" a="1"/>
  <c r="F473" i="5" s="1"/>
  <c r="F475" i="5" a="1"/>
  <c r="F475" i="5" s="1"/>
  <c r="F476" i="5" a="1"/>
  <c r="F476" i="5" s="1"/>
  <c r="F477" i="5" a="1"/>
  <c r="F477" i="5" s="1"/>
  <c r="F480" i="5" a="1"/>
  <c r="F480" i="5" s="1"/>
  <c r="F481" i="5" a="1"/>
  <c r="F481" i="5" s="1"/>
  <c r="F484" i="5" a="1"/>
  <c r="F484" i="5" s="1"/>
  <c r="F485" i="5" a="1"/>
  <c r="F485" i="5" s="1"/>
  <c r="F486" i="5" a="1"/>
  <c r="F486" i="5" s="1"/>
  <c r="F487" i="5" a="1"/>
  <c r="F487" i="5" s="1"/>
  <c r="F490" i="5" a="1"/>
  <c r="F490" i="5" s="1"/>
  <c r="F491" i="5" a="1"/>
  <c r="F491" i="5" s="1"/>
  <c r="F492" i="5" a="1"/>
  <c r="F492" i="5" s="1"/>
  <c r="F493" i="5" a="1"/>
  <c r="F493" i="5" s="1"/>
  <c r="F494" i="5" a="1"/>
  <c r="F494" i="5" s="1"/>
  <c r="F495" i="5" a="1"/>
  <c r="F495" i="5" s="1"/>
  <c r="F496" i="5" a="1"/>
  <c r="F496" i="5" s="1"/>
  <c r="F497" i="5" a="1"/>
  <c r="F497" i="5" s="1"/>
  <c r="F498" i="5" a="1"/>
  <c r="F498" i="5" s="1"/>
  <c r="F499" i="5" a="1"/>
  <c r="F499" i="5" s="1"/>
  <c r="F500" i="5" a="1"/>
  <c r="F500" i="5" s="1"/>
  <c r="F501" i="5" a="1"/>
  <c r="F501" i="5" s="1"/>
  <c r="F502" i="5" a="1"/>
  <c r="F502" i="5" s="1"/>
  <c r="F503" i="5" a="1"/>
  <c r="F503" i="5" s="1"/>
  <c r="F504" i="5" a="1"/>
  <c r="F504" i="5" s="1"/>
  <c r="F505" i="5" a="1"/>
  <c r="F505" i="5" s="1"/>
  <c r="F506" i="5" a="1"/>
  <c r="F506" i="5" s="1"/>
  <c r="F508" i="5" a="1"/>
  <c r="F508" i="5" s="1"/>
  <c r="F509" i="5" a="1"/>
  <c r="F509" i="5" s="1"/>
  <c r="F510" i="5" a="1"/>
  <c r="F510" i="5" s="1"/>
  <c r="F511" i="5" a="1"/>
  <c r="F511" i="5" s="1"/>
  <c r="F512" i="5" a="1"/>
  <c r="F512" i="5" s="1"/>
  <c r="F513" i="5" a="1"/>
  <c r="F513" i="5" s="1"/>
  <c r="Q19" i="5"/>
  <c r="Q18" i="5"/>
  <c r="Q17" i="5"/>
  <c r="Q16" i="5"/>
  <c r="Q15" i="5"/>
  <c r="U20" i="5"/>
  <c r="U18" i="5"/>
  <c r="U17" i="5"/>
  <c r="U16" i="5"/>
  <c r="U15" i="5"/>
  <c r="U11" i="5"/>
  <c r="U7" i="5"/>
  <c r="F61" i="7" l="1"/>
  <c r="F52" i="8"/>
  <c r="F54" i="8"/>
  <c r="F59" i="8"/>
  <c r="E63" i="8"/>
  <c r="F57" i="8"/>
  <c r="D63" i="8"/>
  <c r="F56" i="8"/>
  <c r="F58" i="8"/>
  <c r="F60" i="8"/>
  <c r="F62" i="8"/>
  <c r="B63" i="8"/>
  <c r="F53" i="8"/>
  <c r="F55" i="8"/>
  <c r="C63" i="8"/>
  <c r="F61" i="8"/>
  <c r="E47" i="7"/>
  <c r="L47" i="7"/>
  <c r="F59" i="7"/>
  <c r="M45" i="7"/>
  <c r="D47" i="7"/>
  <c r="F43" i="7"/>
  <c r="F57" i="7"/>
  <c r="I47" i="7"/>
  <c r="C47" i="7"/>
  <c r="F40" i="7"/>
  <c r="F44" i="7"/>
  <c r="F46" i="7"/>
  <c r="M38" i="7"/>
  <c r="M40" i="7"/>
  <c r="M42" i="7"/>
  <c r="M46" i="7"/>
  <c r="E63" i="7"/>
  <c r="F52" i="7"/>
  <c r="F54" i="7"/>
  <c r="F58" i="7"/>
  <c r="F60" i="7"/>
  <c r="F62" i="7"/>
  <c r="M37" i="7"/>
  <c r="M39" i="7"/>
  <c r="M43" i="7"/>
  <c r="K47" i="7"/>
  <c r="M41" i="7"/>
  <c r="F51" i="7"/>
  <c r="F53" i="7"/>
  <c r="F55" i="7"/>
  <c r="M36" i="7"/>
  <c r="M44" i="7"/>
  <c r="D63" i="7"/>
  <c r="F36" i="7"/>
  <c r="F38" i="7"/>
  <c r="F42" i="7"/>
  <c r="F35" i="7"/>
  <c r="F37" i="7"/>
  <c r="F39" i="7"/>
  <c r="F41" i="7"/>
  <c r="F45" i="7"/>
  <c r="J47" i="7"/>
  <c r="F56" i="7"/>
  <c r="C63" i="7"/>
  <c r="B63" i="7"/>
  <c r="M35" i="7"/>
  <c r="B47" i="7"/>
  <c r="F51" i="8"/>
  <c r="L47" i="8"/>
  <c r="K47" i="8"/>
  <c r="M46" i="8"/>
  <c r="M45" i="8"/>
  <c r="M44" i="8"/>
  <c r="M43" i="8"/>
  <c r="M42" i="8"/>
  <c r="M41" i="8"/>
  <c r="M40" i="8"/>
  <c r="M39" i="8"/>
  <c r="M38" i="8"/>
  <c r="M37" i="8"/>
  <c r="M36" i="8"/>
  <c r="J47" i="8"/>
  <c r="I47" i="8"/>
  <c r="M35" i="8"/>
  <c r="E47" i="8"/>
  <c r="D47" i="8"/>
  <c r="F46" i="8"/>
  <c r="F45" i="8"/>
  <c r="F44" i="8"/>
  <c r="F43" i="8"/>
  <c r="F42" i="8"/>
  <c r="F41" i="8"/>
  <c r="F40" i="8"/>
  <c r="F39" i="8"/>
  <c r="F38" i="8"/>
  <c r="C47" i="8"/>
  <c r="F35" i="8"/>
  <c r="F37" i="8"/>
  <c r="F36" i="8"/>
  <c r="B47" i="8"/>
  <c r="F134" i="5" a="1"/>
  <c r="F134" i="5" s="1"/>
  <c r="I134" i="5" s="1"/>
  <c r="F136" i="5" a="1"/>
  <c r="F136" i="5" s="1"/>
  <c r="I136" i="5" s="1"/>
  <c r="F271" i="5" a="1"/>
  <c r="F271" i="5" s="1"/>
  <c r="I271" i="5" s="1"/>
  <c r="F272" i="5" a="1"/>
  <c r="F272" i="5" s="1"/>
  <c r="I272" i="5" s="1"/>
  <c r="F281" i="5" a="1"/>
  <c r="F281" i="5" s="1"/>
  <c r="I281" i="5" s="1"/>
  <c r="F289" i="5" a="1"/>
  <c r="F289" i="5" s="1"/>
  <c r="I289" i="5" s="1"/>
  <c r="F366" i="5" a="1"/>
  <c r="F366" i="5" s="1"/>
  <c r="I366" i="5" s="1"/>
  <c r="F367" i="5" a="1"/>
  <c r="F367" i="5" s="1"/>
  <c r="I367" i="5" s="1"/>
  <c r="F373" i="5" a="1"/>
  <c r="F373" i="5" s="1"/>
  <c r="I373" i="5" s="1"/>
  <c r="F378" i="5" a="1"/>
  <c r="F378" i="5" s="1"/>
  <c r="I378" i="5" s="1"/>
  <c r="F379" i="5" a="1"/>
  <c r="F379" i="5" s="1"/>
  <c r="I379" i="5" s="1"/>
  <c r="F389" i="5" a="1"/>
  <c r="F389" i="5" s="1"/>
  <c r="I389" i="5" s="1"/>
  <c r="F390" i="5" a="1"/>
  <c r="F390" i="5" s="1"/>
  <c r="I390" i="5" s="1"/>
  <c r="F391" i="5" a="1"/>
  <c r="F391" i="5" s="1"/>
  <c r="I391" i="5" s="1"/>
  <c r="F394" i="5" a="1"/>
  <c r="F394" i="5" s="1"/>
  <c r="I394" i="5" s="1"/>
  <c r="F401" i="5" a="1"/>
  <c r="F401" i="5" s="1"/>
  <c r="I401" i="5" s="1"/>
  <c r="F402" i="5" a="1"/>
  <c r="F402" i="5" s="1"/>
  <c r="I402" i="5" s="1"/>
  <c r="F405" i="5" a="1"/>
  <c r="F405" i="5" s="1"/>
  <c r="I405" i="5" s="1"/>
  <c r="F406" i="5" a="1"/>
  <c r="F406" i="5" s="1"/>
  <c r="I406" i="5" s="1"/>
  <c r="F407" i="5" a="1"/>
  <c r="F407" i="5" s="1"/>
  <c r="I407" i="5" s="1"/>
  <c r="F408" i="5" a="1"/>
  <c r="F408" i="5" s="1"/>
  <c r="I408" i="5" s="1"/>
  <c r="F409" i="5" a="1"/>
  <c r="F409" i="5" s="1"/>
  <c r="I409" i="5" s="1"/>
  <c r="F422" i="5" a="1"/>
  <c r="F422" i="5" s="1"/>
  <c r="I422" i="5" s="1"/>
  <c r="F437" i="5" a="1"/>
  <c r="F437" i="5" s="1"/>
  <c r="I437" i="5" s="1"/>
  <c r="F438" i="5" a="1"/>
  <c r="F438" i="5" s="1"/>
  <c r="I438" i="5" s="1"/>
  <c r="F439" i="5" a="1"/>
  <c r="F439" i="5" s="1"/>
  <c r="I439" i="5" s="1"/>
  <c r="F446" i="5" a="1"/>
  <c r="F446" i="5" s="1"/>
  <c r="I446" i="5" s="1"/>
  <c r="F447" i="5" a="1"/>
  <c r="F447" i="5" s="1"/>
  <c r="I447" i="5" s="1"/>
  <c r="F448" i="5" a="1"/>
  <c r="F448" i="5" s="1"/>
  <c r="I448" i="5" s="1"/>
  <c r="F449" i="5" a="1"/>
  <c r="F449" i="5" s="1"/>
  <c r="I449" i="5" s="1"/>
  <c r="F450" i="5" a="1"/>
  <c r="F450" i="5" s="1"/>
  <c r="I450" i="5" s="1"/>
  <c r="F451" i="5" a="1"/>
  <c r="F451" i="5" s="1"/>
  <c r="I451" i="5" s="1"/>
  <c r="F452" i="5" a="1"/>
  <c r="F452" i="5" s="1"/>
  <c r="I452" i="5" s="1"/>
  <c r="F453" i="5" a="1"/>
  <c r="F453" i="5" s="1"/>
  <c r="I453" i="5" s="1"/>
  <c r="F454" i="5" a="1"/>
  <c r="F454" i="5" s="1"/>
  <c r="I454" i="5" s="1"/>
  <c r="F455" i="5" a="1"/>
  <c r="F455" i="5" s="1"/>
  <c r="I455" i="5" s="1"/>
  <c r="F456" i="5" a="1"/>
  <c r="F456" i="5" s="1"/>
  <c r="I456" i="5" s="1"/>
  <c r="F457" i="5" a="1"/>
  <c r="F457" i="5" s="1"/>
  <c r="I457" i="5" s="1"/>
  <c r="F335" i="5" a="1"/>
  <c r="F335" i="5" s="1"/>
  <c r="I335" i="5" s="1"/>
  <c r="F323" i="5" a="1"/>
  <c r="F323" i="5" s="1"/>
  <c r="I323" i="5" s="1"/>
  <c r="F319" i="5" a="1"/>
  <c r="F319" i="5" s="1"/>
  <c r="I319" i="5" s="1"/>
  <c r="F317" i="5" a="1"/>
  <c r="F317" i="5" s="1"/>
  <c r="I317" i="5" s="1"/>
  <c r="F284" i="5" a="1"/>
  <c r="F284" i="5" s="1"/>
  <c r="I284" i="5" s="1"/>
  <c r="F278" i="5" a="1"/>
  <c r="F278" i="5" s="1"/>
  <c r="I278" i="5" s="1"/>
  <c r="F273" i="5" a="1"/>
  <c r="F273" i="5" s="1"/>
  <c r="I273" i="5" s="1"/>
  <c r="F267" i="5" a="1"/>
  <c r="F267" i="5" s="1"/>
  <c r="I267" i="5" s="1"/>
  <c r="F266" i="5" a="1"/>
  <c r="F266" i="5" s="1"/>
  <c r="I266" i="5" s="1"/>
  <c r="F265" i="5" a="1"/>
  <c r="F265" i="5" s="1"/>
  <c r="I265" i="5" s="1"/>
  <c r="F264" i="5" a="1"/>
  <c r="F264" i="5" s="1"/>
  <c r="I264" i="5" s="1"/>
  <c r="F263" i="5" a="1"/>
  <c r="F263" i="5" s="1"/>
  <c r="I263" i="5" s="1"/>
  <c r="F261" i="5" a="1"/>
  <c r="F261" i="5" s="1"/>
  <c r="I261" i="5" s="1"/>
  <c r="F257" i="5" a="1"/>
  <c r="F257" i="5" s="1"/>
  <c r="I257" i="5" s="1"/>
  <c r="F252" i="5" a="1"/>
  <c r="F252" i="5" s="1"/>
  <c r="I252" i="5" s="1"/>
  <c r="F244" i="5" a="1"/>
  <c r="F244" i="5" s="1"/>
  <c r="I244" i="5" s="1"/>
  <c r="F243" i="5" a="1"/>
  <c r="F243" i="5" s="1"/>
  <c r="I243" i="5" s="1"/>
  <c r="F242" i="5" a="1"/>
  <c r="F242" i="5" s="1"/>
  <c r="I242" i="5" s="1"/>
  <c r="F241" i="5" a="1"/>
  <c r="F241" i="5" s="1"/>
  <c r="I241" i="5" s="1"/>
  <c r="F233" i="5" a="1"/>
  <c r="F233" i="5" s="1"/>
  <c r="I233" i="5" s="1"/>
  <c r="F231" i="5" a="1"/>
  <c r="F231" i="5" s="1"/>
  <c r="I231" i="5" s="1"/>
  <c r="F228" i="5" a="1"/>
  <c r="F228" i="5" s="1"/>
  <c r="I228" i="5" s="1"/>
  <c r="F227" i="5" a="1"/>
  <c r="F227" i="5" s="1"/>
  <c r="I227" i="5" s="1"/>
  <c r="F226" i="5" a="1"/>
  <c r="F226" i="5" s="1"/>
  <c r="I226" i="5" s="1"/>
  <c r="F219" i="5" a="1"/>
  <c r="F219" i="5" s="1"/>
  <c r="I219" i="5" s="1"/>
  <c r="F218" i="5" a="1"/>
  <c r="F218" i="5" s="1"/>
  <c r="I218" i="5" s="1"/>
  <c r="F346" i="5" a="1"/>
  <c r="F346" i="5" s="1"/>
  <c r="I346" i="5" s="1"/>
  <c r="F345" i="5" a="1"/>
  <c r="F345" i="5" s="1"/>
  <c r="I345" i="5" s="1"/>
  <c r="F316" i="5" a="1"/>
  <c r="F316" i="5" s="1"/>
  <c r="I316" i="5" s="1"/>
  <c r="F315" i="5" a="1"/>
  <c r="F315" i="5" s="1"/>
  <c r="I315" i="5" s="1"/>
  <c r="F306" i="5" a="1"/>
  <c r="F306" i="5" s="1"/>
  <c r="I306" i="5" s="1"/>
  <c r="F303" i="5" a="1"/>
  <c r="F303" i="5" s="1"/>
  <c r="I303" i="5" s="1"/>
  <c r="F302" i="5" a="1"/>
  <c r="F302" i="5" s="1"/>
  <c r="I302" i="5" s="1"/>
  <c r="F301" i="5" a="1"/>
  <c r="F301" i="5" s="1"/>
  <c r="I301" i="5" s="1"/>
  <c r="F300" i="5" a="1"/>
  <c r="F300" i="5" s="1"/>
  <c r="I300" i="5" s="1"/>
  <c r="F299" i="5" a="1"/>
  <c r="F299" i="5" s="1"/>
  <c r="I299" i="5" s="1"/>
  <c r="F298" i="5" a="1"/>
  <c r="F298" i="5" s="1"/>
  <c r="I298" i="5" s="1"/>
  <c r="F291" i="5" a="1"/>
  <c r="F291" i="5" s="1"/>
  <c r="I291" i="5" s="1"/>
  <c r="F288" i="5" a="1"/>
  <c r="F288" i="5" s="1"/>
  <c r="I288" i="5" s="1"/>
  <c r="F287" i="5" a="1"/>
  <c r="F287" i="5" s="1"/>
  <c r="I287" i="5" s="1"/>
  <c r="F286" i="5" a="1"/>
  <c r="F286" i="5" s="1"/>
  <c r="I286" i="5" s="1"/>
  <c r="F285" i="5" a="1"/>
  <c r="F285" i="5" s="1"/>
  <c r="I285" i="5" s="1"/>
  <c r="F277" i="5" a="1"/>
  <c r="F277" i="5" s="1"/>
  <c r="I277" i="5" s="1"/>
  <c r="F276" i="5" a="1"/>
  <c r="F276" i="5" s="1"/>
  <c r="I276" i="5" s="1"/>
  <c r="F256" i="5" a="1"/>
  <c r="F256" i="5" s="1"/>
  <c r="I256" i="5" s="1"/>
  <c r="F255" i="5" a="1"/>
  <c r="F255" i="5" s="1"/>
  <c r="I255" i="5" s="1"/>
  <c r="F254" i="5" a="1"/>
  <c r="F254" i="5" s="1"/>
  <c r="I254" i="5" s="1"/>
  <c r="F253" i="5" a="1"/>
  <c r="F253" i="5" s="1"/>
  <c r="I253" i="5" s="1"/>
  <c r="F250" i="5" a="1"/>
  <c r="F250" i="5" s="1"/>
  <c r="I250" i="5" s="1"/>
  <c r="F249" i="5" a="1"/>
  <c r="F249" i="5" s="1"/>
  <c r="I249" i="5" s="1"/>
  <c r="F248" i="5" a="1"/>
  <c r="F248" i="5" s="1"/>
  <c r="I248" i="5" s="1"/>
  <c r="F246" i="5" a="1"/>
  <c r="F246" i="5" s="1"/>
  <c r="I246" i="5" s="1"/>
  <c r="F245" i="5" a="1"/>
  <c r="F245" i="5" s="1"/>
  <c r="I245" i="5" s="1"/>
  <c r="F240" i="5" a="1"/>
  <c r="F240" i="5" s="1"/>
  <c r="I240" i="5" s="1"/>
  <c r="F238" i="5" a="1"/>
  <c r="F238" i="5" s="1"/>
  <c r="I238" i="5" s="1"/>
  <c r="F239" i="5" a="1"/>
  <c r="F239" i="5" s="1"/>
  <c r="I239" i="5" s="1"/>
  <c r="F237" i="5" a="1"/>
  <c r="F237" i="5" s="1"/>
  <c r="I237" i="5" s="1"/>
  <c r="F236" i="5" a="1"/>
  <c r="F236" i="5" s="1"/>
  <c r="I236" i="5" s="1"/>
  <c r="F235" i="5" a="1"/>
  <c r="F235" i="5" s="1"/>
  <c r="I235" i="5" s="1"/>
  <c r="F225" i="5" a="1"/>
  <c r="F225" i="5" s="1"/>
  <c r="I225" i="5" s="1"/>
  <c r="F224" i="5" a="1"/>
  <c r="F224" i="5" s="1"/>
  <c r="I224" i="5" s="1"/>
  <c r="F223" i="5" a="1"/>
  <c r="F223" i="5" s="1"/>
  <c r="I223" i="5" s="1"/>
  <c r="F222" i="5" a="1"/>
  <c r="F222" i="5" s="1"/>
  <c r="I222" i="5" s="1"/>
  <c r="F221" i="5" a="1"/>
  <c r="F221" i="5" s="1"/>
  <c r="I221" i="5" s="1"/>
  <c r="F220" i="5" a="1"/>
  <c r="F220" i="5" s="1"/>
  <c r="I220" i="5" s="1"/>
  <c r="F304" i="5" a="1"/>
  <c r="F304" i="5" s="1"/>
  <c r="I304" i="5" s="1"/>
  <c r="F283" i="5" a="1"/>
  <c r="F283" i="5" s="1"/>
  <c r="I283" i="5" s="1"/>
  <c r="F234" i="5" a="1"/>
  <c r="F234" i="5" s="1"/>
  <c r="I234" i="5" s="1"/>
  <c r="F232" i="5" a="1"/>
  <c r="F232" i="5" s="1"/>
  <c r="I232" i="5" s="1"/>
  <c r="F433" i="5" a="1"/>
  <c r="F433" i="5" s="1"/>
  <c r="I433" i="5" s="1"/>
  <c r="F400" i="5" a="1"/>
  <c r="F400" i="5" s="1"/>
  <c r="I400" i="5" s="1"/>
  <c r="F381" i="5" a="1"/>
  <c r="F381" i="5" s="1"/>
  <c r="I381" i="5" s="1"/>
  <c r="F380" i="5" a="1"/>
  <c r="F380" i="5" s="1"/>
  <c r="I380" i="5" s="1"/>
  <c r="F372" i="5" a="1"/>
  <c r="F372" i="5" s="1"/>
  <c r="I372" i="5" s="1"/>
  <c r="F361" i="5" a="1"/>
  <c r="F361" i="5" s="1"/>
  <c r="I361" i="5" s="1"/>
  <c r="F332" i="5" a="1"/>
  <c r="F332" i="5" s="1"/>
  <c r="I332" i="5" s="1"/>
  <c r="F462" i="5" a="1"/>
  <c r="F462" i="5" s="1"/>
  <c r="I462" i="5" s="1"/>
  <c r="F404" i="5" a="1"/>
  <c r="F404" i="5" s="1"/>
  <c r="I404" i="5" s="1"/>
  <c r="F403" i="5" a="1"/>
  <c r="F403" i="5" s="1"/>
  <c r="I403" i="5" s="1"/>
  <c r="F398" i="5" a="1"/>
  <c r="F398" i="5" s="1"/>
  <c r="I398" i="5" s="1"/>
  <c r="F397" i="5" a="1"/>
  <c r="F397" i="5" s="1"/>
  <c r="I397" i="5" s="1"/>
  <c r="F382" i="5" a="1"/>
  <c r="F382" i="5" s="1"/>
  <c r="I382" i="5" s="1"/>
  <c r="F375" i="5" a="1"/>
  <c r="F375" i="5" s="1"/>
  <c r="I375" i="5" s="1"/>
  <c r="F374" i="5" a="1"/>
  <c r="F374" i="5" s="1"/>
  <c r="I374" i="5" s="1"/>
  <c r="F362" i="5" a="1"/>
  <c r="F362" i="5" s="1"/>
  <c r="I362" i="5" s="1"/>
  <c r="F351" i="5" a="1"/>
  <c r="F351" i="5" s="1"/>
  <c r="I351" i="5" s="1"/>
  <c r="F350" i="5" a="1"/>
  <c r="F350" i="5" s="1"/>
  <c r="I350" i="5" s="1"/>
  <c r="F340" i="5" a="1"/>
  <c r="F340" i="5" s="1"/>
  <c r="I340" i="5" s="1"/>
  <c r="F330" i="5" a="1"/>
  <c r="F330" i="5" s="1"/>
  <c r="I330" i="5" s="1"/>
  <c r="F328" i="5" a="1"/>
  <c r="F328" i="5" s="1"/>
  <c r="I328" i="5" s="1"/>
  <c r="F327" i="5" a="1"/>
  <c r="F327" i="5" s="1"/>
  <c r="I327" i="5" s="1"/>
  <c r="F326" i="5" a="1"/>
  <c r="F326" i="5" s="1"/>
  <c r="I326" i="5" s="1"/>
  <c r="F318" i="5" a="1"/>
  <c r="F318" i="5" s="1"/>
  <c r="I318" i="5" s="1"/>
  <c r="F310" i="5" a="1"/>
  <c r="F310" i="5" s="1"/>
  <c r="I310" i="5" s="1"/>
  <c r="F415" i="5" a="1"/>
  <c r="F415" i="5" s="1"/>
  <c r="I415" i="5" s="1"/>
  <c r="F482" i="5" a="1"/>
  <c r="F482" i="5" s="1"/>
  <c r="I482" i="5" s="1"/>
  <c r="F479" i="5" a="1"/>
  <c r="F479" i="5" s="1"/>
  <c r="I479" i="5" s="1"/>
  <c r="F478" i="5" a="1"/>
  <c r="F478" i="5" s="1"/>
  <c r="I478" i="5" s="1"/>
  <c r="F474" i="5" a="1"/>
  <c r="F474" i="5" s="1"/>
  <c r="I474" i="5" s="1"/>
  <c r="F460" i="5" a="1"/>
  <c r="F460" i="5" s="1"/>
  <c r="I460" i="5" s="1"/>
  <c r="F440" i="5" a="1"/>
  <c r="F440" i="5" s="1"/>
  <c r="I440" i="5" s="1"/>
  <c r="F436" i="5" a="1"/>
  <c r="F436" i="5" s="1"/>
  <c r="I436" i="5" s="1"/>
  <c r="F425" i="5" a="1"/>
  <c r="F425" i="5" s="1"/>
  <c r="I425" i="5" s="1"/>
  <c r="F423" i="5" a="1"/>
  <c r="F423" i="5" s="1"/>
  <c r="I423" i="5" s="1"/>
  <c r="F388" i="5" a="1"/>
  <c r="F388" i="5" s="1"/>
  <c r="I388" i="5" s="1"/>
  <c r="F387" i="5" a="1"/>
  <c r="F387" i="5" s="1"/>
  <c r="I387" i="5" s="1"/>
  <c r="F386" i="5" a="1"/>
  <c r="F386" i="5" s="1"/>
  <c r="I386" i="5" s="1"/>
  <c r="F371" i="5" a="1"/>
  <c r="F371" i="5" s="1"/>
  <c r="I371" i="5" s="1"/>
  <c r="F368" i="5" a="1"/>
  <c r="F368" i="5" s="1"/>
  <c r="I368" i="5" s="1"/>
  <c r="F483" i="5" a="1"/>
  <c r="F483" i="5" s="1"/>
  <c r="I483" i="5" s="1"/>
  <c r="F365" i="5" a="1"/>
  <c r="F365" i="5" s="1"/>
  <c r="I365" i="5" s="1"/>
  <c r="F466" i="5" a="1"/>
  <c r="F466" i="5" s="1"/>
  <c r="I466" i="5" s="1"/>
  <c r="F179" i="5" a="1"/>
  <c r="F179" i="5" s="1"/>
  <c r="I179" i="5" s="1"/>
  <c r="F432" i="5" a="1"/>
  <c r="F432" i="5" s="1"/>
  <c r="I432" i="5" s="1"/>
  <c r="F396" i="5" a="1"/>
  <c r="F396" i="5" s="1"/>
  <c r="I396" i="5" s="1"/>
  <c r="F342" i="5" a="1"/>
  <c r="F342" i="5" s="1"/>
  <c r="I342" i="5" s="1"/>
  <c r="F427" i="5" a="1"/>
  <c r="F427" i="5" s="1"/>
  <c r="I427" i="5" s="1"/>
  <c r="F426" i="5" a="1"/>
  <c r="F426" i="5" s="1"/>
  <c r="I426" i="5" s="1"/>
  <c r="F376" i="5" a="1"/>
  <c r="F376" i="5" s="1"/>
  <c r="I376" i="5" s="1"/>
  <c r="F341" i="5" a="1"/>
  <c r="F341" i="5" s="1"/>
  <c r="I341" i="5" s="1"/>
  <c r="F430" i="5" a="1"/>
  <c r="F430" i="5" s="1"/>
  <c r="I430" i="5" s="1"/>
  <c r="F385" i="5" a="1"/>
  <c r="F385" i="5" s="1"/>
  <c r="I385" i="5" s="1"/>
  <c r="F369" i="5" a="1"/>
  <c r="F369" i="5" s="1"/>
  <c r="I369" i="5" s="1"/>
  <c r="F467" i="5" a="1"/>
  <c r="F467" i="5" s="1"/>
  <c r="I467" i="5" s="1"/>
  <c r="F465" i="5" a="1"/>
  <c r="F465" i="5" s="1"/>
  <c r="I465" i="5" s="1"/>
  <c r="F464" i="5" a="1"/>
  <c r="F464" i="5" s="1"/>
  <c r="I464" i="5" s="1"/>
  <c r="F463" i="5" a="1"/>
  <c r="F463" i="5" s="1"/>
  <c r="I463" i="5" s="1"/>
  <c r="F461" i="5" a="1"/>
  <c r="F461" i="5" s="1"/>
  <c r="I461" i="5" s="1"/>
  <c r="F441" i="5" a="1"/>
  <c r="F441" i="5" s="1"/>
  <c r="I441" i="5" s="1"/>
  <c r="F435" i="5" a="1"/>
  <c r="F435" i="5" s="1"/>
  <c r="I435" i="5" s="1"/>
  <c r="F434" i="5" a="1"/>
  <c r="F434" i="5" s="1"/>
  <c r="I434" i="5" s="1"/>
  <c r="F431" i="5" a="1"/>
  <c r="F431" i="5" s="1"/>
  <c r="I431" i="5" s="1"/>
  <c r="F429" i="5" a="1"/>
  <c r="F429" i="5" s="1"/>
  <c r="I429" i="5" s="1"/>
  <c r="F428" i="5" a="1"/>
  <c r="F428" i="5" s="1"/>
  <c r="I428" i="5" s="1"/>
  <c r="F424" i="5" a="1"/>
  <c r="F424" i="5" s="1"/>
  <c r="I424" i="5" s="1"/>
  <c r="F421" i="5" a="1"/>
  <c r="F421" i="5" s="1"/>
  <c r="I421" i="5" s="1"/>
  <c r="F420" i="5" a="1"/>
  <c r="F420" i="5" s="1"/>
  <c r="I420" i="5" s="1"/>
  <c r="F419" i="5" a="1"/>
  <c r="F419" i="5" s="1"/>
  <c r="I419" i="5" s="1"/>
  <c r="F418" i="5" a="1"/>
  <c r="F418" i="5" s="1"/>
  <c r="I418" i="5" s="1"/>
  <c r="F417" i="5" a="1"/>
  <c r="F417" i="5" s="1"/>
  <c r="I417" i="5" s="1"/>
  <c r="F416" i="5" a="1"/>
  <c r="F416" i="5" s="1"/>
  <c r="I416" i="5" s="1"/>
  <c r="F395" i="5" a="1"/>
  <c r="F395" i="5" s="1"/>
  <c r="I395" i="5" s="1"/>
  <c r="F393" i="5" a="1"/>
  <c r="F393" i="5" s="1"/>
  <c r="I393" i="5" s="1"/>
  <c r="F392" i="5" a="1"/>
  <c r="F392" i="5" s="1"/>
  <c r="I392" i="5" s="1"/>
  <c r="F384" i="5" a="1"/>
  <c r="F384" i="5" s="1"/>
  <c r="I384" i="5" s="1"/>
  <c r="F383" i="5" a="1"/>
  <c r="F383" i="5" s="1"/>
  <c r="I383" i="5" s="1"/>
  <c r="F377" i="5" a="1"/>
  <c r="F377" i="5" s="1"/>
  <c r="I377" i="5" s="1"/>
  <c r="F370" i="5" a="1"/>
  <c r="F370" i="5" s="1"/>
  <c r="I370" i="5" s="1"/>
  <c r="F364" i="5" a="1"/>
  <c r="F364" i="5" s="1"/>
  <c r="I364" i="5" s="1"/>
  <c r="F357" i="5" a="1"/>
  <c r="F357" i="5" s="1"/>
  <c r="I357" i="5" s="1"/>
  <c r="F356" i="5" a="1"/>
  <c r="F356" i="5" s="1"/>
  <c r="I356" i="5" s="1"/>
  <c r="F354" i="5" a="1"/>
  <c r="F354" i="5" s="1"/>
  <c r="I354" i="5" s="1"/>
  <c r="F353" i="5" a="1"/>
  <c r="F353" i="5" s="1"/>
  <c r="I353" i="5" s="1"/>
  <c r="F352" i="5" a="1"/>
  <c r="F352" i="5" s="1"/>
  <c r="I352" i="5" s="1"/>
  <c r="F349" i="5" a="1"/>
  <c r="F349" i="5" s="1"/>
  <c r="I349" i="5" s="1"/>
  <c r="F347" i="5" a="1"/>
  <c r="F347" i="5" s="1"/>
  <c r="I347" i="5" s="1"/>
  <c r="F343" i="5" a="1"/>
  <c r="F343" i="5" s="1"/>
  <c r="I343" i="5" s="1"/>
  <c r="F338" i="5" a="1"/>
  <c r="F338" i="5" s="1"/>
  <c r="I338" i="5" s="1"/>
  <c r="F337" i="5" a="1"/>
  <c r="F337" i="5" s="1"/>
  <c r="I337" i="5" s="1"/>
  <c r="F325" i="5" a="1"/>
  <c r="F325" i="5" s="1"/>
  <c r="I325" i="5" s="1"/>
  <c r="F324" i="5" a="1"/>
  <c r="F324" i="5" s="1"/>
  <c r="I324" i="5" s="1"/>
  <c r="F307" i="5" a="1"/>
  <c r="F307" i="5" s="1"/>
  <c r="I307" i="5" s="1"/>
  <c r="F274" i="5" a="1"/>
  <c r="F274" i="5" s="1"/>
  <c r="I274" i="5" s="1"/>
  <c r="F469" i="5" a="1"/>
  <c r="F469" i="5" s="1"/>
  <c r="I469" i="5" s="1"/>
  <c r="F459" i="5" a="1"/>
  <c r="F459" i="5" s="1"/>
  <c r="I459" i="5" s="1"/>
  <c r="F458" i="5" a="1"/>
  <c r="F458" i="5" s="1"/>
  <c r="I458" i="5" s="1"/>
  <c r="F339" i="5" a="1"/>
  <c r="F339" i="5" s="1"/>
  <c r="I339" i="5" s="1"/>
  <c r="F348" i="5" a="1"/>
  <c r="F348" i="5" s="1"/>
  <c r="I348" i="5" s="1"/>
  <c r="F247" i="5" a="1"/>
  <c r="F247" i="5" s="1"/>
  <c r="I247" i="5" s="1"/>
  <c r="F251" i="5" a="1"/>
  <c r="F251" i="5" s="1"/>
  <c r="I251" i="5" s="1"/>
  <c r="F262" i="5" a="1"/>
  <c r="F262" i="5" s="1"/>
  <c r="I262" i="5" s="1"/>
  <c r="F275" i="5" a="1"/>
  <c r="F275" i="5" s="1"/>
  <c r="I275" i="5" s="1"/>
  <c r="F282" i="5" a="1"/>
  <c r="F282" i="5" s="1"/>
  <c r="I282" i="5" s="1"/>
  <c r="F290" i="5" a="1"/>
  <c r="F290" i="5" s="1"/>
  <c r="I290" i="5" s="1"/>
  <c r="F296" i="5" a="1"/>
  <c r="F296" i="5" s="1"/>
  <c r="I296" i="5" s="1"/>
  <c r="F309" i="5" a="1"/>
  <c r="F309" i="5" s="1"/>
  <c r="I309" i="5" s="1"/>
  <c r="F311" i="5" a="1"/>
  <c r="F311" i="5" s="1"/>
  <c r="I311" i="5" s="1"/>
  <c r="F320" i="5" a="1"/>
  <c r="F320" i="5" s="1"/>
  <c r="I320" i="5" s="1"/>
  <c r="F329" i="5" a="1"/>
  <c r="F329" i="5" s="1"/>
  <c r="I329" i="5" s="1"/>
  <c r="F186" i="5" a="1"/>
  <c r="F186" i="5" s="1"/>
  <c r="I186" i="5" s="1"/>
  <c r="F189" i="5" a="1"/>
  <c r="F189" i="5" s="1"/>
  <c r="I189" i="5" s="1"/>
  <c r="F206" i="5" a="1"/>
  <c r="F206" i="5" s="1"/>
  <c r="I206" i="5" s="1"/>
  <c r="F258" i="5" a="1"/>
  <c r="F258" i="5" s="1"/>
  <c r="I258" i="5" s="1"/>
  <c r="F279" i="5" a="1"/>
  <c r="F279" i="5" s="1"/>
  <c r="I279" i="5" s="1"/>
  <c r="F280" i="5" a="1"/>
  <c r="F280" i="5" s="1"/>
  <c r="I280" i="5" s="1"/>
  <c r="F295" i="5" a="1"/>
  <c r="F295" i="5" s="1"/>
  <c r="I295" i="5" s="1"/>
  <c r="F297" i="5" a="1"/>
  <c r="F297" i="5" s="1"/>
  <c r="I297" i="5" s="1"/>
  <c r="F305" i="5" a="1"/>
  <c r="F305" i="5" s="1"/>
  <c r="I305" i="5" s="1"/>
  <c r="F229" i="5" a="1"/>
  <c r="F229" i="5" s="1"/>
  <c r="I229" i="5" s="1"/>
  <c r="F259" i="5" a="1"/>
  <c r="F259" i="5" s="1"/>
  <c r="I259" i="5" s="1"/>
  <c r="F260" i="5" a="1"/>
  <c r="F260" i="5" s="1"/>
  <c r="I260" i="5" s="1"/>
  <c r="F268" i="5" a="1"/>
  <c r="F268" i="5" s="1"/>
  <c r="I268" i="5" s="1"/>
  <c r="F269" i="5" a="1"/>
  <c r="F269" i="5" s="1"/>
  <c r="I269" i="5" s="1"/>
  <c r="F294" i="5" a="1"/>
  <c r="F294" i="5" s="1"/>
  <c r="I294" i="5" s="1"/>
  <c r="F308" i="5" a="1"/>
  <c r="F308" i="5" s="1"/>
  <c r="I308" i="5" s="1"/>
  <c r="F321" i="5" a="1"/>
  <c r="F321" i="5" s="1"/>
  <c r="I321" i="5" s="1"/>
  <c r="F322" i="5" a="1"/>
  <c r="F322" i="5" s="1"/>
  <c r="I322" i="5" s="1"/>
  <c r="F334" i="5" a="1"/>
  <c r="F334" i="5" s="1"/>
  <c r="I334" i="5" s="1"/>
  <c r="F336" i="5" a="1"/>
  <c r="F336" i="5" s="1"/>
  <c r="I336" i="5" s="1"/>
  <c r="F344" i="5" a="1"/>
  <c r="F344" i="5" s="1"/>
  <c r="I344" i="5" s="1"/>
  <c r="F358" i="5" a="1"/>
  <c r="F358" i="5" s="1"/>
  <c r="I358" i="5" s="1"/>
  <c r="F359" i="5" a="1"/>
  <c r="F359" i="5" s="1"/>
  <c r="I359" i="5" s="1"/>
  <c r="F360" i="5" a="1"/>
  <c r="F360" i="5" s="1"/>
  <c r="I360" i="5" s="1"/>
  <c r="F95" i="5" a="1"/>
  <c r="F95" i="5" s="1"/>
  <c r="I95" i="5" s="1"/>
  <c r="F99" i="5" a="1"/>
  <c r="F99" i="5" s="1"/>
  <c r="I99" i="5" s="1"/>
  <c r="F184" i="5" a="1"/>
  <c r="F184" i="5" s="1"/>
  <c r="I184" i="5" s="1"/>
  <c r="F192" i="5" a="1"/>
  <c r="F192" i="5" s="1"/>
  <c r="I192" i="5" s="1"/>
  <c r="F193" i="5" a="1"/>
  <c r="F193" i="5" s="1"/>
  <c r="I193" i="5" s="1"/>
  <c r="F194" i="5" a="1"/>
  <c r="F194" i="5" s="1"/>
  <c r="I194" i="5" s="1"/>
  <c r="F195" i="5" a="1"/>
  <c r="F195" i="5" s="1"/>
  <c r="I195" i="5" s="1"/>
  <c r="F208" i="5" a="1"/>
  <c r="F208" i="5" s="1"/>
  <c r="I208" i="5" s="1"/>
  <c r="F230" i="5" a="1"/>
  <c r="F230" i="5" s="1"/>
  <c r="I230" i="5" s="1"/>
  <c r="F270" i="5" a="1"/>
  <c r="F270" i="5" s="1"/>
  <c r="I270" i="5" s="1"/>
  <c r="F292" i="5" a="1"/>
  <c r="F292" i="5" s="1"/>
  <c r="I292" i="5" s="1"/>
  <c r="F293" i="5" a="1"/>
  <c r="F293" i="5" s="1"/>
  <c r="I293" i="5" s="1"/>
  <c r="F312" i="5" a="1"/>
  <c r="F312" i="5" s="1"/>
  <c r="I312" i="5" s="1"/>
  <c r="F313" i="5" a="1"/>
  <c r="F313" i="5" s="1"/>
  <c r="I313" i="5" s="1"/>
  <c r="F314" i="5" a="1"/>
  <c r="F314" i="5" s="1"/>
  <c r="I314" i="5" s="1"/>
  <c r="F331" i="5" a="1"/>
  <c r="F331" i="5" s="1"/>
  <c r="I331" i="5" s="1"/>
  <c r="F333" i="5" a="1"/>
  <c r="F333" i="5" s="1"/>
  <c r="I333" i="5" s="1"/>
  <c r="F363" i="5" a="1"/>
  <c r="F363" i="5" s="1"/>
  <c r="I363" i="5" s="1"/>
  <c r="F172" i="5" a="1"/>
  <c r="F172" i="5" s="1"/>
  <c r="I172" i="5" s="1"/>
  <c r="F173" i="5" a="1"/>
  <c r="F173" i="5" s="1"/>
  <c r="I173" i="5" s="1"/>
  <c r="F174" i="5" a="1"/>
  <c r="F174" i="5" s="1"/>
  <c r="I174" i="5" s="1"/>
  <c r="F175" i="5" a="1"/>
  <c r="F175" i="5" s="1"/>
  <c r="I175" i="5" s="1"/>
  <c r="F176" i="5" a="1"/>
  <c r="F176" i="5" s="1"/>
  <c r="I176" i="5" s="1"/>
  <c r="F177" i="5" a="1"/>
  <c r="F177" i="5" s="1"/>
  <c r="I177" i="5" s="1"/>
  <c r="F178" i="5" a="1"/>
  <c r="F178" i="5" s="1"/>
  <c r="I178" i="5" s="1"/>
  <c r="F180" i="5" a="1"/>
  <c r="F180" i="5" s="1"/>
  <c r="I180" i="5" s="1"/>
  <c r="F181" i="5" a="1"/>
  <c r="F181" i="5" s="1"/>
  <c r="I181" i="5" s="1"/>
  <c r="F182" i="5" a="1"/>
  <c r="F182" i="5" s="1"/>
  <c r="I182" i="5" s="1"/>
  <c r="F183" i="5" a="1"/>
  <c r="F183" i="5" s="1"/>
  <c r="I183" i="5" s="1"/>
  <c r="F185" i="5" a="1"/>
  <c r="F185" i="5" s="1"/>
  <c r="I185" i="5" s="1"/>
  <c r="F187" i="5" a="1"/>
  <c r="F187" i="5" s="1"/>
  <c r="I187" i="5" s="1"/>
  <c r="F188" i="5" a="1"/>
  <c r="F188" i="5" s="1"/>
  <c r="I188" i="5" s="1"/>
  <c r="F190" i="5" a="1"/>
  <c r="F190" i="5" s="1"/>
  <c r="I190" i="5" s="1"/>
  <c r="F191" i="5" a="1"/>
  <c r="F191" i="5" s="1"/>
  <c r="I191" i="5" s="1"/>
  <c r="F196" i="5" a="1"/>
  <c r="F196" i="5" s="1"/>
  <c r="I196" i="5" s="1"/>
  <c r="F197" i="5" a="1"/>
  <c r="F197" i="5" s="1"/>
  <c r="I197" i="5" s="1"/>
  <c r="F198" i="5" a="1"/>
  <c r="F198" i="5" s="1"/>
  <c r="I198" i="5" s="1"/>
  <c r="F199" i="5" a="1"/>
  <c r="F199" i="5" s="1"/>
  <c r="I199" i="5" s="1"/>
  <c r="F200" i="5" a="1"/>
  <c r="F200" i="5" s="1"/>
  <c r="I200" i="5" s="1"/>
  <c r="F201" i="5" a="1"/>
  <c r="F201" i="5" s="1"/>
  <c r="I201" i="5" s="1"/>
  <c r="F202" i="5" a="1"/>
  <c r="F202" i="5" s="1"/>
  <c r="I202" i="5" s="1"/>
  <c r="F203" i="5" a="1"/>
  <c r="F203" i="5" s="1"/>
  <c r="I203" i="5" s="1"/>
  <c r="F204" i="5" a="1"/>
  <c r="F204" i="5" s="1"/>
  <c r="I204" i="5" s="1"/>
  <c r="F205" i="5" a="1"/>
  <c r="F205" i="5" s="1"/>
  <c r="I205" i="5" s="1"/>
  <c r="F207" i="5" a="1"/>
  <c r="F207" i="5" s="1"/>
  <c r="I207" i="5" s="1"/>
  <c r="F209" i="5" a="1"/>
  <c r="F209" i="5" s="1"/>
  <c r="I209" i="5" s="1"/>
  <c r="F210" i="5" a="1"/>
  <c r="F210" i="5" s="1"/>
  <c r="I210" i="5" s="1"/>
  <c r="F211" i="5" a="1"/>
  <c r="F211" i="5" s="1"/>
  <c r="I211" i="5" s="1"/>
  <c r="F212" i="5" a="1"/>
  <c r="F212" i="5" s="1"/>
  <c r="I212" i="5" s="1"/>
  <c r="F213" i="5" a="1"/>
  <c r="F213" i="5" s="1"/>
  <c r="I213" i="5" s="1"/>
  <c r="F214" i="5" a="1"/>
  <c r="F214" i="5" s="1"/>
  <c r="I214" i="5" s="1"/>
  <c r="F215" i="5" a="1"/>
  <c r="F215" i="5" s="1"/>
  <c r="I215" i="5" s="1"/>
  <c r="F216" i="5" a="1"/>
  <c r="F216" i="5" s="1"/>
  <c r="I216" i="5" s="1"/>
  <c r="F217" i="5" a="1"/>
  <c r="F217" i="5" s="1"/>
  <c r="I217" i="5" s="1"/>
  <c r="F129" i="5" a="1"/>
  <c r="F129" i="5" s="1"/>
  <c r="I129" i="5" s="1"/>
  <c r="F130" i="5" a="1"/>
  <c r="F130" i="5" s="1"/>
  <c r="I130" i="5" s="1"/>
  <c r="F131" i="5" a="1"/>
  <c r="F131" i="5" s="1"/>
  <c r="I131" i="5" s="1"/>
  <c r="F132" i="5" a="1"/>
  <c r="F132" i="5" s="1"/>
  <c r="I132" i="5" s="1"/>
  <c r="F133" i="5" a="1"/>
  <c r="F133" i="5" s="1"/>
  <c r="I133" i="5" s="1"/>
  <c r="F135" i="5" a="1"/>
  <c r="F135" i="5" s="1"/>
  <c r="I135" i="5" s="1"/>
  <c r="F137" i="5" a="1"/>
  <c r="F137" i="5" s="1"/>
  <c r="I137" i="5" s="1"/>
  <c r="F138" i="5" a="1"/>
  <c r="F138" i="5" s="1"/>
  <c r="I138" i="5" s="1"/>
  <c r="F139" i="5" a="1"/>
  <c r="F139" i="5" s="1"/>
  <c r="I139" i="5" s="1"/>
  <c r="F140" i="5" a="1"/>
  <c r="F140" i="5" s="1"/>
  <c r="I140" i="5" s="1"/>
  <c r="F141" i="5" a="1"/>
  <c r="F141" i="5" s="1"/>
  <c r="I141" i="5" s="1"/>
  <c r="F142" i="5" a="1"/>
  <c r="F142" i="5" s="1"/>
  <c r="I142" i="5" s="1"/>
  <c r="F143" i="5" a="1"/>
  <c r="F143" i="5" s="1"/>
  <c r="I143" i="5" s="1"/>
  <c r="F144" i="5" a="1"/>
  <c r="F144" i="5" s="1"/>
  <c r="I144" i="5" s="1"/>
  <c r="F145" i="5" a="1"/>
  <c r="F145" i="5" s="1"/>
  <c r="I145" i="5" s="1"/>
  <c r="F146" i="5" a="1"/>
  <c r="F146" i="5" s="1"/>
  <c r="I146" i="5" s="1"/>
  <c r="F147" i="5" a="1"/>
  <c r="F147" i="5" s="1"/>
  <c r="I147" i="5" s="1"/>
  <c r="F148" i="5" a="1"/>
  <c r="F148" i="5" s="1"/>
  <c r="I148" i="5" s="1"/>
  <c r="F149" i="5" a="1"/>
  <c r="F149" i="5" s="1"/>
  <c r="I149" i="5" s="1"/>
  <c r="F150" i="5" a="1"/>
  <c r="F150" i="5" s="1"/>
  <c r="I150" i="5" s="1"/>
  <c r="F151" i="5" a="1"/>
  <c r="F151" i="5" s="1"/>
  <c r="I151" i="5" s="1"/>
  <c r="F152" i="5" a="1"/>
  <c r="F152" i="5" s="1"/>
  <c r="I152" i="5" s="1"/>
  <c r="F153" i="5" a="1"/>
  <c r="F153" i="5" s="1"/>
  <c r="I153" i="5" s="1"/>
  <c r="F154" i="5" a="1"/>
  <c r="F154" i="5" s="1"/>
  <c r="I154" i="5" s="1"/>
  <c r="F155" i="5" a="1"/>
  <c r="F155" i="5" s="1"/>
  <c r="I155" i="5" s="1"/>
  <c r="F156" i="5" a="1"/>
  <c r="F156" i="5" s="1"/>
  <c r="I156" i="5" s="1"/>
  <c r="F157" i="5" a="1"/>
  <c r="F157" i="5" s="1"/>
  <c r="I157" i="5" s="1"/>
  <c r="F158" i="5" a="1"/>
  <c r="F158" i="5" s="1"/>
  <c r="I158" i="5" s="1"/>
  <c r="F159" i="5" a="1"/>
  <c r="F159" i="5" s="1"/>
  <c r="I159" i="5" s="1"/>
  <c r="F160" i="5" a="1"/>
  <c r="F160" i="5" s="1"/>
  <c r="I160" i="5" s="1"/>
  <c r="F161" i="5" a="1"/>
  <c r="F161" i="5" s="1"/>
  <c r="I161" i="5" s="1"/>
  <c r="F162" i="5" a="1"/>
  <c r="F162" i="5" s="1"/>
  <c r="I162" i="5" s="1"/>
  <c r="F163" i="5" a="1"/>
  <c r="F163" i="5" s="1"/>
  <c r="I163" i="5" s="1"/>
  <c r="F164" i="5" a="1"/>
  <c r="F164" i="5" s="1"/>
  <c r="I164" i="5" s="1"/>
  <c r="F165" i="5" a="1"/>
  <c r="F165" i="5" s="1"/>
  <c r="I165" i="5" s="1"/>
  <c r="F166" i="5" a="1"/>
  <c r="F166" i="5" s="1"/>
  <c r="I166" i="5" s="1"/>
  <c r="F167" i="5" a="1"/>
  <c r="F167" i="5" s="1"/>
  <c r="I167" i="5" s="1"/>
  <c r="F168" i="5" a="1"/>
  <c r="F168" i="5" s="1"/>
  <c r="I168" i="5" s="1"/>
  <c r="F169" i="5" a="1"/>
  <c r="F169" i="5" s="1"/>
  <c r="I169" i="5" s="1"/>
  <c r="F170" i="5" a="1"/>
  <c r="F170" i="5" s="1"/>
  <c r="I170" i="5" s="1"/>
  <c r="F171" i="5" a="1"/>
  <c r="F171" i="5" s="1"/>
  <c r="I171" i="5" s="1"/>
  <c r="H123" i="5"/>
  <c r="F123" i="5" a="1"/>
  <c r="F123" i="5" s="1"/>
  <c r="I123" i="5" s="1"/>
  <c r="H122" i="5"/>
  <c r="F122" i="5" a="1"/>
  <c r="F122" i="5" s="1"/>
  <c r="I122" i="5" s="1"/>
  <c r="H121" i="5"/>
  <c r="F121" i="5" a="1"/>
  <c r="F121" i="5" s="1"/>
  <c r="I121" i="5" s="1"/>
  <c r="H119" i="5"/>
  <c r="F119" i="5" a="1"/>
  <c r="F119" i="5" s="1"/>
  <c r="I119" i="5" s="1"/>
  <c r="H118" i="5"/>
  <c r="F118" i="5" a="1"/>
  <c r="F118" i="5" s="1"/>
  <c r="I118" i="5" s="1"/>
  <c r="F112" i="5" a="1"/>
  <c r="F112" i="5" s="1"/>
  <c r="I112" i="5" s="1"/>
  <c r="H111" i="5"/>
  <c r="H112" i="5"/>
  <c r="F111" i="5" a="1"/>
  <c r="F111" i="5" s="1"/>
  <c r="I111" i="5" s="1"/>
  <c r="H109" i="5"/>
  <c r="F109" i="5" a="1"/>
  <c r="F109" i="5" s="1"/>
  <c r="I109" i="5" s="1"/>
  <c r="H105" i="5"/>
  <c r="F105" i="5" a="1"/>
  <c r="F105" i="5" s="1"/>
  <c r="I105" i="5" s="1"/>
  <c r="H87" i="5"/>
  <c r="F87" i="5" a="1"/>
  <c r="F87" i="5" s="1"/>
  <c r="I87" i="5" s="1"/>
  <c r="H84" i="5"/>
  <c r="F84" i="5" a="1"/>
  <c r="F84" i="5" s="1"/>
  <c r="I84" i="5" s="1"/>
  <c r="H81" i="5"/>
  <c r="F81" i="5" a="1"/>
  <c r="F81" i="5" s="1"/>
  <c r="I81" i="5" s="1"/>
  <c r="H80" i="5"/>
  <c r="F80" i="5" a="1"/>
  <c r="F80" i="5" s="1"/>
  <c r="I80" i="5" s="1"/>
  <c r="H79" i="5"/>
  <c r="F79" i="5" a="1"/>
  <c r="F79" i="5" s="1"/>
  <c r="I79" i="5" s="1"/>
  <c r="H77" i="5"/>
  <c r="F77" i="5" a="1"/>
  <c r="F77" i="5" s="1"/>
  <c r="I77" i="5" s="1"/>
  <c r="H75" i="5"/>
  <c r="F75" i="5" a="1"/>
  <c r="F75" i="5" s="1"/>
  <c r="I75" i="5" s="1"/>
  <c r="H50" i="5"/>
  <c r="F50" i="5" a="1"/>
  <c r="F50" i="5" s="1"/>
  <c r="I50" i="5" s="1"/>
  <c r="H48" i="5"/>
  <c r="F48" i="5" a="1"/>
  <c r="F48" i="5" s="1"/>
  <c r="I48" i="5" s="1"/>
  <c r="H46" i="5"/>
  <c r="F46" i="5" a="1"/>
  <c r="F46" i="5" s="1"/>
  <c r="I46" i="5" s="1"/>
  <c r="H39" i="5"/>
  <c r="F39" i="5" a="1"/>
  <c r="F39" i="5" s="1"/>
  <c r="I39" i="5" s="1"/>
  <c r="H38" i="5"/>
  <c r="F38" i="5" a="1"/>
  <c r="F38" i="5" s="1"/>
  <c r="I38" i="5" s="1"/>
  <c r="H37" i="5"/>
  <c r="F37" i="5" a="1"/>
  <c r="F37" i="5" s="1"/>
  <c r="I37" i="5" s="1"/>
  <c r="H35" i="5"/>
  <c r="F35" i="5" a="1"/>
  <c r="F35" i="5" s="1"/>
  <c r="I35" i="5" s="1"/>
  <c r="H26" i="5"/>
  <c r="F26" i="5" a="1"/>
  <c r="F26" i="5" s="1"/>
  <c r="I26" i="5" s="1"/>
  <c r="H25" i="5"/>
  <c r="F25" i="5" a="1"/>
  <c r="F25" i="5" s="1"/>
  <c r="I25" i="5" s="1"/>
  <c r="H22" i="5"/>
  <c r="F22" i="5" a="1"/>
  <c r="F22" i="5" s="1"/>
  <c r="I22" i="5" s="1"/>
  <c r="F19" i="5" a="1"/>
  <c r="F19" i="5" s="1"/>
  <c r="I19" i="5" s="1"/>
  <c r="F3" i="5" a="1"/>
  <c r="F3" i="5" s="1"/>
  <c r="I3" i="5" s="1"/>
  <c r="F4" i="5" a="1"/>
  <c r="F4" i="5" s="1"/>
  <c r="I4" i="5" s="1"/>
  <c r="F5" i="5" a="1"/>
  <c r="F5" i="5" s="1"/>
  <c r="I5" i="5" s="1"/>
  <c r="F6" i="5" a="1"/>
  <c r="F6" i="5" s="1"/>
  <c r="I6" i="5" s="1"/>
  <c r="F7" i="5" a="1"/>
  <c r="F7" i="5" s="1"/>
  <c r="I7" i="5" s="1"/>
  <c r="F8" i="5" a="1"/>
  <c r="F8" i="5" s="1"/>
  <c r="I8" i="5" s="1"/>
  <c r="F9" i="5" a="1"/>
  <c r="F9" i="5" s="1"/>
  <c r="I9" i="5" s="1"/>
  <c r="F10" i="5" a="1"/>
  <c r="F10" i="5" s="1"/>
  <c r="I10" i="5" s="1"/>
  <c r="F11" i="5" a="1"/>
  <c r="F11" i="5" s="1"/>
  <c r="I11" i="5" s="1"/>
  <c r="F15" i="5" a="1"/>
  <c r="F15" i="5" s="1"/>
  <c r="I15" i="5" s="1"/>
  <c r="H824" i="5"/>
  <c r="H15" i="5"/>
  <c r="H11" i="5"/>
  <c r="H10" i="5"/>
  <c r="H9" i="5"/>
  <c r="H8" i="5"/>
  <c r="H7" i="5"/>
  <c r="H6" i="5"/>
  <c r="H5" i="5"/>
  <c r="H4" i="5"/>
  <c r="H3" i="5"/>
  <c r="H19" i="5"/>
  <c r="H171" i="5"/>
  <c r="H170" i="5"/>
  <c r="H169" i="5"/>
  <c r="H168" i="5"/>
  <c r="H167" i="5"/>
  <c r="H166" i="5"/>
  <c r="H165" i="5"/>
  <c r="H164" i="5"/>
  <c r="H163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5" i="5"/>
  <c r="H133" i="5"/>
  <c r="H132" i="5"/>
  <c r="H131" i="5"/>
  <c r="H130" i="5"/>
  <c r="H129" i="5"/>
  <c r="H217" i="5"/>
  <c r="H216" i="5"/>
  <c r="H215" i="5"/>
  <c r="H214" i="5"/>
  <c r="H213" i="5"/>
  <c r="H212" i="5"/>
  <c r="H211" i="5"/>
  <c r="H210" i="5"/>
  <c r="H209" i="5"/>
  <c r="H207" i="5"/>
  <c r="H205" i="5"/>
  <c r="H204" i="5"/>
  <c r="H203" i="5"/>
  <c r="H202" i="5"/>
  <c r="H201" i="5"/>
  <c r="H200" i="5"/>
  <c r="H199" i="5"/>
  <c r="H198" i="5"/>
  <c r="H197" i="5"/>
  <c r="H196" i="5"/>
  <c r="H191" i="5"/>
  <c r="H190" i="5"/>
  <c r="H188" i="5"/>
  <c r="H187" i="5"/>
  <c r="H185" i="5"/>
  <c r="H183" i="5"/>
  <c r="H182" i="5"/>
  <c r="H181" i="5"/>
  <c r="H180" i="5"/>
  <c r="H178" i="5"/>
  <c r="H177" i="5"/>
  <c r="H176" i="5"/>
  <c r="H175" i="5"/>
  <c r="H174" i="5"/>
  <c r="H173" i="5"/>
  <c r="H172" i="5"/>
  <c r="H363" i="5"/>
  <c r="H333" i="5"/>
  <c r="H331" i="5"/>
  <c r="H314" i="5"/>
  <c r="H313" i="5"/>
  <c r="H312" i="5"/>
  <c r="H293" i="5"/>
  <c r="H292" i="5"/>
  <c r="H270" i="5"/>
  <c r="H230" i="5"/>
  <c r="H208" i="5"/>
  <c r="H195" i="5"/>
  <c r="H194" i="5"/>
  <c r="H193" i="5"/>
  <c r="H192" i="5"/>
  <c r="H184" i="5"/>
  <c r="H99" i="5"/>
  <c r="H95" i="5"/>
  <c r="H360" i="5"/>
  <c r="H359" i="5"/>
  <c r="H358" i="5"/>
  <c r="H344" i="5"/>
  <c r="H336" i="5"/>
  <c r="H334" i="5"/>
  <c r="H322" i="5"/>
  <c r="H321" i="5"/>
  <c r="H308" i="5"/>
  <c r="H294" i="5"/>
  <c r="H269" i="5"/>
  <c r="H268" i="5"/>
  <c r="H260" i="5"/>
  <c r="H259" i="5"/>
  <c r="H229" i="5"/>
  <c r="H305" i="5"/>
  <c r="H297" i="5"/>
  <c r="H295" i="5"/>
  <c r="H280" i="5"/>
  <c r="H279" i="5"/>
  <c r="H258" i="5"/>
  <c r="H206" i="5"/>
  <c r="H189" i="5"/>
  <c r="H186" i="5"/>
  <c r="H329" i="5"/>
  <c r="H320" i="5"/>
  <c r="H311" i="5"/>
  <c r="H309" i="5"/>
  <c r="H296" i="5"/>
  <c r="H290" i="5"/>
  <c r="H282" i="5"/>
  <c r="H275" i="5"/>
  <c r="H262" i="5"/>
  <c r="H251" i="5"/>
  <c r="H247" i="5"/>
  <c r="H348" i="5"/>
  <c r="H339" i="5"/>
  <c r="H335" i="5"/>
  <c r="H323" i="5"/>
  <c r="H319" i="5"/>
  <c r="H317" i="5"/>
  <c r="H284" i="5"/>
  <c r="H278" i="5"/>
  <c r="H273" i="5"/>
  <c r="H267" i="5"/>
  <c r="H266" i="5"/>
  <c r="H265" i="5"/>
  <c r="H264" i="5"/>
  <c r="H263" i="5"/>
  <c r="H261" i="5"/>
  <c r="H257" i="5"/>
  <c r="H252" i="5"/>
  <c r="H244" i="5"/>
  <c r="H243" i="5"/>
  <c r="H242" i="5"/>
  <c r="H241" i="5"/>
  <c r="H233" i="5"/>
  <c r="H231" i="5"/>
  <c r="H228" i="5"/>
  <c r="H227" i="5"/>
  <c r="H226" i="5"/>
  <c r="H219" i="5"/>
  <c r="H218" i="5"/>
  <c r="H346" i="5"/>
  <c r="H345" i="5"/>
  <c r="H316" i="5"/>
  <c r="H315" i="5"/>
  <c r="H306" i="5"/>
  <c r="H303" i="5"/>
  <c r="H302" i="5"/>
  <c r="H301" i="5"/>
  <c r="H300" i="5"/>
  <c r="H299" i="5"/>
  <c r="H298" i="5"/>
  <c r="H291" i="5"/>
  <c r="H288" i="5"/>
  <c r="H287" i="5"/>
  <c r="H286" i="5"/>
  <c r="H285" i="5"/>
  <c r="H277" i="5"/>
  <c r="H276" i="5"/>
  <c r="H256" i="5"/>
  <c r="H255" i="5"/>
  <c r="H254" i="5"/>
  <c r="H253" i="5"/>
  <c r="H250" i="5"/>
  <c r="H249" i="5"/>
  <c r="H248" i="5"/>
  <c r="H246" i="5"/>
  <c r="H245" i="5"/>
  <c r="H240" i="5"/>
  <c r="H238" i="5"/>
  <c r="H239" i="5"/>
  <c r="H237" i="5"/>
  <c r="H236" i="5"/>
  <c r="H235" i="5"/>
  <c r="H225" i="5"/>
  <c r="H224" i="5"/>
  <c r="H223" i="5"/>
  <c r="H222" i="5"/>
  <c r="H221" i="5"/>
  <c r="H220" i="5"/>
  <c r="H304" i="5"/>
  <c r="H283" i="5"/>
  <c r="H234" i="5"/>
  <c r="H232" i="5"/>
  <c r="H433" i="5"/>
  <c r="H400" i="5"/>
  <c r="H381" i="5"/>
  <c r="H380" i="5"/>
  <c r="H372" i="5"/>
  <c r="H361" i="5"/>
  <c r="H332" i="5"/>
  <c r="H462" i="5"/>
  <c r="H404" i="5"/>
  <c r="H403" i="5"/>
  <c r="H398" i="5"/>
  <c r="H397" i="5"/>
  <c r="H382" i="5"/>
  <c r="H375" i="5"/>
  <c r="H374" i="5"/>
  <c r="H362" i="5"/>
  <c r="H351" i="5"/>
  <c r="H350" i="5"/>
  <c r="H340" i="5"/>
  <c r="H330" i="5"/>
  <c r="H328" i="5"/>
  <c r="H327" i="5"/>
  <c r="H326" i="5"/>
  <c r="H318" i="5"/>
  <c r="H310" i="5"/>
  <c r="H415" i="5"/>
  <c r="H482" i="5"/>
  <c r="H479" i="5"/>
  <c r="H478" i="5"/>
  <c r="H474" i="5"/>
  <c r="H460" i="5"/>
  <c r="H440" i="5"/>
  <c r="H436" i="5"/>
  <c r="H425" i="5"/>
  <c r="H423" i="5"/>
  <c r="H388" i="5"/>
  <c r="H387" i="5"/>
  <c r="H386" i="5"/>
  <c r="H371" i="5"/>
  <c r="H368" i="5"/>
  <c r="H483" i="5"/>
  <c r="H365" i="5"/>
  <c r="H466" i="5"/>
  <c r="H179" i="5"/>
  <c r="H432" i="5"/>
  <c r="H396" i="5"/>
  <c r="H342" i="5"/>
  <c r="H427" i="5"/>
  <c r="H426" i="5"/>
  <c r="H376" i="5"/>
  <c r="H341" i="5"/>
  <c r="H430" i="5"/>
  <c r="H385" i="5"/>
  <c r="H369" i="5"/>
  <c r="H467" i="5"/>
  <c r="H465" i="5"/>
  <c r="H464" i="5"/>
  <c r="H463" i="5"/>
  <c r="H461" i="5"/>
  <c r="H441" i="5"/>
  <c r="H435" i="5"/>
  <c r="H434" i="5"/>
  <c r="H431" i="5"/>
  <c r="H429" i="5"/>
  <c r="H428" i="5"/>
  <c r="H424" i="5"/>
  <c r="H421" i="5"/>
  <c r="H420" i="5"/>
  <c r="H419" i="5"/>
  <c r="H418" i="5"/>
  <c r="H417" i="5"/>
  <c r="H416" i="5"/>
  <c r="H395" i="5"/>
  <c r="H393" i="5"/>
  <c r="H392" i="5"/>
  <c r="H384" i="5"/>
  <c r="H383" i="5"/>
  <c r="H377" i="5"/>
  <c r="H370" i="5"/>
  <c r="H364" i="5"/>
  <c r="H357" i="5"/>
  <c r="H356" i="5"/>
  <c r="H354" i="5"/>
  <c r="H353" i="5"/>
  <c r="H352" i="5"/>
  <c r="H349" i="5"/>
  <c r="H347" i="5"/>
  <c r="H343" i="5"/>
  <c r="H338" i="5"/>
  <c r="H337" i="5"/>
  <c r="H325" i="5"/>
  <c r="H324" i="5"/>
  <c r="H307" i="5"/>
  <c r="H274" i="5"/>
  <c r="H469" i="5"/>
  <c r="H459" i="5"/>
  <c r="H458" i="5"/>
  <c r="H457" i="5"/>
  <c r="H456" i="5"/>
  <c r="H455" i="5"/>
  <c r="H454" i="5"/>
  <c r="H453" i="5"/>
  <c r="H452" i="5"/>
  <c r="H451" i="5"/>
  <c r="H450" i="5"/>
  <c r="H449" i="5"/>
  <c r="H448" i="5"/>
  <c r="H447" i="5"/>
  <c r="H446" i="5"/>
  <c r="H439" i="5"/>
  <c r="H438" i="5"/>
  <c r="H437" i="5"/>
  <c r="H422" i="5"/>
  <c r="H409" i="5"/>
  <c r="H408" i="5"/>
  <c r="H407" i="5"/>
  <c r="H406" i="5"/>
  <c r="H405" i="5"/>
  <c r="H402" i="5"/>
  <c r="H401" i="5"/>
  <c r="H394" i="5"/>
  <c r="H391" i="5"/>
  <c r="H390" i="5"/>
  <c r="H389" i="5"/>
  <c r="H379" i="5"/>
  <c r="H378" i="5"/>
  <c r="H373" i="5"/>
  <c r="H367" i="5"/>
  <c r="H366" i="5"/>
  <c r="H289" i="5"/>
  <c r="H281" i="5"/>
  <c r="H272" i="5"/>
  <c r="H271" i="5"/>
  <c r="H136" i="5"/>
  <c r="H134" i="5"/>
  <c r="H513" i="5"/>
  <c r="I513" i="5"/>
  <c r="H512" i="5"/>
  <c r="I512" i="5"/>
  <c r="H511" i="5"/>
  <c r="I511" i="5"/>
  <c r="H510" i="5"/>
  <c r="I510" i="5"/>
  <c r="H509" i="5"/>
  <c r="I509" i="5"/>
  <c r="H508" i="5"/>
  <c r="I508" i="5"/>
  <c r="H506" i="5"/>
  <c r="I506" i="5"/>
  <c r="H505" i="5"/>
  <c r="I505" i="5"/>
  <c r="H504" i="5"/>
  <c r="I504" i="5"/>
  <c r="H503" i="5"/>
  <c r="I503" i="5"/>
  <c r="H502" i="5"/>
  <c r="I502" i="5"/>
  <c r="H501" i="5"/>
  <c r="I501" i="5"/>
  <c r="H500" i="5"/>
  <c r="I500" i="5"/>
  <c r="H499" i="5"/>
  <c r="I499" i="5"/>
  <c r="H498" i="5"/>
  <c r="I498" i="5"/>
  <c r="H497" i="5"/>
  <c r="I497" i="5"/>
  <c r="H496" i="5"/>
  <c r="I496" i="5"/>
  <c r="H495" i="5"/>
  <c r="I495" i="5"/>
  <c r="H494" i="5"/>
  <c r="I494" i="5"/>
  <c r="H493" i="5"/>
  <c r="I493" i="5"/>
  <c r="H492" i="5"/>
  <c r="I492" i="5"/>
  <c r="H491" i="5"/>
  <c r="I491" i="5"/>
  <c r="H490" i="5"/>
  <c r="I490" i="5"/>
  <c r="H487" i="5"/>
  <c r="I487" i="5"/>
  <c r="H486" i="5"/>
  <c r="I486" i="5"/>
  <c r="H485" i="5"/>
  <c r="I485" i="5"/>
  <c r="H484" i="5"/>
  <c r="I484" i="5"/>
  <c r="H481" i="5"/>
  <c r="I481" i="5"/>
  <c r="H480" i="5"/>
  <c r="I480" i="5"/>
  <c r="H477" i="5"/>
  <c r="I477" i="5"/>
  <c r="H476" i="5"/>
  <c r="I476" i="5"/>
  <c r="H475" i="5"/>
  <c r="I475" i="5"/>
  <c r="H473" i="5"/>
  <c r="I473" i="5"/>
  <c r="H472" i="5"/>
  <c r="I472" i="5"/>
  <c r="H471" i="5"/>
  <c r="I471" i="5"/>
  <c r="H470" i="5"/>
  <c r="I470" i="5"/>
  <c r="H442" i="5"/>
  <c r="I442" i="5"/>
  <c r="H566" i="5"/>
  <c r="I566" i="5"/>
  <c r="H565" i="5"/>
  <c r="I565" i="5"/>
  <c r="H561" i="5"/>
  <c r="I561" i="5"/>
  <c r="H560" i="5"/>
  <c r="I560" i="5"/>
  <c r="H559" i="5"/>
  <c r="I559" i="5"/>
  <c r="H549" i="5"/>
  <c r="I549" i="5"/>
  <c r="H545" i="5"/>
  <c r="I545" i="5"/>
  <c r="H543" i="5"/>
  <c r="I543" i="5"/>
  <c r="H542" i="5"/>
  <c r="I542" i="5"/>
  <c r="H541" i="5"/>
  <c r="I541" i="5"/>
  <c r="H539" i="5"/>
  <c r="I539" i="5"/>
  <c r="H538" i="5"/>
  <c r="I538" i="5"/>
  <c r="H536" i="5"/>
  <c r="I536" i="5"/>
  <c r="H535" i="5"/>
  <c r="I535" i="5"/>
  <c r="H534" i="5"/>
  <c r="I534" i="5"/>
  <c r="H533" i="5"/>
  <c r="I533" i="5"/>
  <c r="H532" i="5"/>
  <c r="I532" i="5"/>
  <c r="H531" i="5"/>
  <c r="I531" i="5"/>
  <c r="H529" i="5"/>
  <c r="I529" i="5"/>
  <c r="H528" i="5"/>
  <c r="I528" i="5"/>
  <c r="H525" i="5"/>
  <c r="I525" i="5"/>
  <c r="H524" i="5"/>
  <c r="I524" i="5"/>
  <c r="H523" i="5"/>
  <c r="I523" i="5"/>
  <c r="H522" i="5"/>
  <c r="I522" i="5"/>
  <c r="H521" i="5"/>
  <c r="I521" i="5"/>
  <c r="H520" i="5"/>
  <c r="I520" i="5"/>
  <c r="H517" i="5"/>
  <c r="I517" i="5"/>
  <c r="H516" i="5"/>
  <c r="I516" i="5"/>
  <c r="H515" i="5"/>
  <c r="I515" i="5"/>
  <c r="H514" i="5"/>
  <c r="I514" i="5"/>
  <c r="H574" i="5"/>
  <c r="I574" i="5"/>
  <c r="H573" i="5"/>
  <c r="I573" i="5"/>
  <c r="H572" i="5"/>
  <c r="I572" i="5"/>
  <c r="H570" i="5"/>
  <c r="I570" i="5"/>
  <c r="H568" i="5"/>
  <c r="I568" i="5"/>
  <c r="H567" i="5"/>
  <c r="I567" i="5"/>
  <c r="H564" i="5"/>
  <c r="I564" i="5"/>
  <c r="H563" i="5"/>
  <c r="I563" i="5"/>
  <c r="H562" i="5"/>
  <c r="I562" i="5"/>
  <c r="H558" i="5"/>
  <c r="I558" i="5"/>
  <c r="H557" i="5"/>
  <c r="I557" i="5"/>
  <c r="H556" i="5"/>
  <c r="I556" i="5"/>
  <c r="H555" i="5"/>
  <c r="I555" i="5"/>
  <c r="H554" i="5"/>
  <c r="I554" i="5"/>
  <c r="H553" i="5"/>
  <c r="I553" i="5"/>
  <c r="H552" i="5"/>
  <c r="I552" i="5"/>
  <c r="H551" i="5"/>
  <c r="I551" i="5"/>
  <c r="H550" i="5"/>
  <c r="I550" i="5"/>
  <c r="H548" i="5"/>
  <c r="I548" i="5"/>
  <c r="H547" i="5"/>
  <c r="I547" i="5"/>
  <c r="H546" i="5"/>
  <c r="I546" i="5"/>
  <c r="H544" i="5"/>
  <c r="I544" i="5"/>
  <c r="H540" i="5"/>
  <c r="I540" i="5"/>
  <c r="H537" i="5"/>
  <c r="I537" i="5"/>
  <c r="H526" i="5"/>
  <c r="I526" i="5"/>
  <c r="H519" i="5"/>
  <c r="I519" i="5"/>
  <c r="H518" i="5"/>
  <c r="I518" i="5"/>
  <c r="H507" i="5"/>
  <c r="I507" i="5"/>
  <c r="H444" i="5"/>
  <c r="I444" i="5"/>
  <c r="H443" i="5"/>
  <c r="I443" i="5"/>
  <c r="H414" i="5"/>
  <c r="I414" i="5"/>
  <c r="H412" i="5"/>
  <c r="I412" i="5"/>
  <c r="H411" i="5"/>
  <c r="I411" i="5"/>
  <c r="H410" i="5"/>
  <c r="I410" i="5"/>
  <c r="H569" i="5"/>
  <c r="I569" i="5"/>
  <c r="H445" i="5"/>
  <c r="I445" i="5"/>
  <c r="H639" i="5"/>
  <c r="I639" i="5"/>
  <c r="H638" i="5"/>
  <c r="I638" i="5"/>
  <c r="H637" i="5"/>
  <c r="I637" i="5"/>
  <c r="H618" i="5"/>
  <c r="I618" i="5"/>
  <c r="H616" i="5"/>
  <c r="I616" i="5"/>
  <c r="H602" i="5"/>
  <c r="I602" i="5"/>
  <c r="H601" i="5"/>
  <c r="I601" i="5"/>
  <c r="H576" i="5"/>
  <c r="I576" i="5"/>
  <c r="H577" i="5"/>
  <c r="I577" i="5"/>
  <c r="H578" i="5"/>
  <c r="I578" i="5"/>
  <c r="H579" i="5"/>
  <c r="I579" i="5"/>
  <c r="H580" i="5"/>
  <c r="I580" i="5"/>
  <c r="H581" i="5"/>
  <c r="I581" i="5"/>
  <c r="H582" i="5"/>
  <c r="I582" i="5"/>
  <c r="H583" i="5"/>
  <c r="I583" i="5"/>
  <c r="H595" i="5"/>
  <c r="I595" i="5"/>
  <c r="H596" i="5"/>
  <c r="I596" i="5"/>
  <c r="H597" i="5"/>
  <c r="I597" i="5"/>
  <c r="H598" i="5"/>
  <c r="I598" i="5"/>
  <c r="H599" i="5"/>
  <c r="I599" i="5"/>
  <c r="H600" i="5"/>
  <c r="I600" i="5"/>
  <c r="H603" i="5"/>
  <c r="I603" i="5"/>
  <c r="H604" i="5"/>
  <c r="I604" i="5"/>
  <c r="H605" i="5"/>
  <c r="I605" i="5"/>
  <c r="H607" i="5"/>
  <c r="I607" i="5"/>
  <c r="H608" i="5"/>
  <c r="I608" i="5"/>
  <c r="H609" i="5"/>
  <c r="I609" i="5"/>
  <c r="H610" i="5"/>
  <c r="I610" i="5"/>
  <c r="H611" i="5"/>
  <c r="I611" i="5"/>
  <c r="H676" i="5"/>
  <c r="I676" i="5"/>
  <c r="H673" i="5"/>
  <c r="I673" i="5"/>
  <c r="H663" i="5"/>
  <c r="I663" i="5"/>
  <c r="H656" i="5"/>
  <c r="I656" i="5"/>
  <c r="H654" i="5"/>
  <c r="I654" i="5"/>
  <c r="H653" i="5"/>
  <c r="I653" i="5"/>
  <c r="H652" i="5"/>
  <c r="I652" i="5"/>
  <c r="H650" i="5"/>
  <c r="I650" i="5"/>
  <c r="H649" i="5"/>
  <c r="I649" i="5"/>
  <c r="H648" i="5"/>
  <c r="I648" i="5"/>
  <c r="H647" i="5"/>
  <c r="I647" i="5"/>
  <c r="H646" i="5"/>
  <c r="I646" i="5"/>
  <c r="H645" i="5"/>
  <c r="I645" i="5"/>
  <c r="H643" i="5"/>
  <c r="I643" i="5"/>
  <c r="H642" i="5"/>
  <c r="I642" i="5"/>
  <c r="H641" i="5"/>
  <c r="I641" i="5"/>
  <c r="H640" i="5"/>
  <c r="I640" i="5"/>
  <c r="H633" i="5"/>
  <c r="I633" i="5"/>
  <c r="H631" i="5"/>
  <c r="I631" i="5"/>
  <c r="H630" i="5"/>
  <c r="I630" i="5"/>
  <c r="H629" i="5"/>
  <c r="I629" i="5"/>
  <c r="H628" i="5"/>
  <c r="I628" i="5"/>
  <c r="H627" i="5"/>
  <c r="I627" i="5"/>
  <c r="H626" i="5"/>
  <c r="I626" i="5"/>
  <c r="H625" i="5"/>
  <c r="I625" i="5"/>
  <c r="H624" i="5"/>
  <c r="I624" i="5"/>
  <c r="H622" i="5"/>
  <c r="I622" i="5"/>
  <c r="H621" i="5"/>
  <c r="I621" i="5"/>
  <c r="H620" i="5"/>
  <c r="I620" i="5"/>
  <c r="H619" i="5"/>
  <c r="I619" i="5"/>
  <c r="H617" i="5"/>
  <c r="I617" i="5"/>
  <c r="H614" i="5"/>
  <c r="I614" i="5"/>
  <c r="H613" i="5"/>
  <c r="I613" i="5"/>
  <c r="H612" i="5"/>
  <c r="I612" i="5"/>
  <c r="H825" i="5"/>
  <c r="I825" i="5"/>
  <c r="H826" i="5"/>
  <c r="I826" i="5"/>
  <c r="H827" i="5"/>
  <c r="I827" i="5"/>
  <c r="H828" i="5"/>
  <c r="I828" i="5"/>
  <c r="H829" i="5"/>
  <c r="I829" i="5"/>
  <c r="H830" i="5"/>
  <c r="I830" i="5"/>
  <c r="H831" i="5"/>
  <c r="I831" i="5"/>
  <c r="F824" i="5" a="1"/>
  <c r="F824" i="5" s="1"/>
  <c r="I824" i="5" s="1"/>
  <c r="H823" i="5"/>
  <c r="F823" i="5" a="1"/>
  <c r="F823" i="5" s="1"/>
  <c r="I823" i="5" s="1"/>
  <c r="H822" i="5"/>
  <c r="F822" i="5" a="1"/>
  <c r="F822" i="5" s="1"/>
  <c r="I822" i="5" s="1"/>
  <c r="H821" i="5"/>
  <c r="F821" i="5" a="1"/>
  <c r="F821" i="5" s="1"/>
  <c r="I821" i="5" s="1"/>
  <c r="H820" i="5"/>
  <c r="F820" i="5" a="1"/>
  <c r="F820" i="5" s="1"/>
  <c r="I820" i="5" s="1"/>
  <c r="H819" i="5"/>
  <c r="F819" i="5" a="1"/>
  <c r="F819" i="5" s="1"/>
  <c r="I819" i="5" s="1"/>
  <c r="H818" i="5"/>
  <c r="F818" i="5" a="1"/>
  <c r="F818" i="5" s="1"/>
  <c r="I818" i="5" s="1"/>
  <c r="H817" i="5"/>
  <c r="F817" i="5" a="1"/>
  <c r="F817" i="5" s="1"/>
  <c r="I817" i="5" s="1"/>
  <c r="H816" i="5"/>
  <c r="F816" i="5" a="1"/>
  <c r="F816" i="5" s="1"/>
  <c r="I816" i="5" s="1"/>
  <c r="H815" i="5"/>
  <c r="F815" i="5" a="1"/>
  <c r="F815" i="5" s="1"/>
  <c r="I815" i="5" s="1"/>
  <c r="H814" i="5"/>
  <c r="F814" i="5" a="1"/>
  <c r="F814" i="5" s="1"/>
  <c r="I814" i="5" s="1"/>
  <c r="H813" i="5"/>
  <c r="F813" i="5" a="1"/>
  <c r="F813" i="5" s="1"/>
  <c r="I813" i="5" s="1"/>
  <c r="H812" i="5"/>
  <c r="F812" i="5" a="1"/>
  <c r="F812" i="5" s="1"/>
  <c r="I812" i="5" s="1"/>
  <c r="H811" i="5"/>
  <c r="F811" i="5" a="1"/>
  <c r="F811" i="5" s="1"/>
  <c r="I811" i="5" s="1"/>
  <c r="H810" i="5"/>
  <c r="F810" i="5" a="1"/>
  <c r="F810" i="5" s="1"/>
  <c r="I810" i="5" s="1"/>
  <c r="H809" i="5"/>
  <c r="F809" i="5" a="1"/>
  <c r="F809" i="5" s="1"/>
  <c r="I809" i="5" s="1"/>
  <c r="H808" i="5"/>
  <c r="F808" i="5" a="1"/>
  <c r="F808" i="5" s="1"/>
  <c r="I808" i="5" s="1"/>
  <c r="H807" i="5"/>
  <c r="F807" i="5" a="1"/>
  <c r="F807" i="5" s="1"/>
  <c r="I807" i="5" s="1"/>
  <c r="H806" i="5"/>
  <c r="F806" i="5" a="1"/>
  <c r="F806" i="5" s="1"/>
  <c r="I806" i="5" s="1"/>
  <c r="F805" i="5" a="1"/>
  <c r="F805" i="5" s="1"/>
  <c r="I805" i="5" s="1"/>
  <c r="H804" i="5"/>
  <c r="F804" i="5" a="1"/>
  <c r="F804" i="5" s="1"/>
  <c r="I804" i="5" s="1"/>
  <c r="H803" i="5"/>
  <c r="F803" i="5" a="1"/>
  <c r="F803" i="5" s="1"/>
  <c r="I803" i="5" s="1"/>
  <c r="F802" i="5" a="1"/>
  <c r="F802" i="5" s="1"/>
  <c r="I802" i="5" s="1"/>
  <c r="H801" i="5"/>
  <c r="F801" i="5" a="1"/>
  <c r="F801" i="5" s="1"/>
  <c r="I801" i="5" s="1"/>
  <c r="H800" i="5"/>
  <c r="F800" i="5" a="1"/>
  <c r="F800" i="5" s="1"/>
  <c r="I800" i="5" s="1"/>
  <c r="H799" i="5"/>
  <c r="F799" i="5" a="1"/>
  <c r="F799" i="5" s="1"/>
  <c r="I799" i="5" s="1"/>
  <c r="H798" i="5"/>
  <c r="F798" i="5" a="1"/>
  <c r="F798" i="5" s="1"/>
  <c r="I798" i="5" s="1"/>
  <c r="H797" i="5"/>
  <c r="F797" i="5" a="1"/>
  <c r="F797" i="5" s="1"/>
  <c r="I797" i="5" s="1"/>
  <c r="H796" i="5"/>
  <c r="F796" i="5" a="1"/>
  <c r="F796" i="5" s="1"/>
  <c r="I796" i="5" s="1"/>
  <c r="H795" i="5"/>
  <c r="F795" i="5" a="1"/>
  <c r="F795" i="5" s="1"/>
  <c r="I795" i="5" s="1"/>
  <c r="H794" i="5"/>
  <c r="F794" i="5" a="1"/>
  <c r="F794" i="5" s="1"/>
  <c r="I794" i="5" s="1"/>
  <c r="H793" i="5"/>
  <c r="F793" i="5" a="1"/>
  <c r="F793" i="5" s="1"/>
  <c r="I793" i="5" s="1"/>
  <c r="H792" i="5"/>
  <c r="F792" i="5" a="1"/>
  <c r="F792" i="5" s="1"/>
  <c r="I792" i="5" s="1"/>
  <c r="H791" i="5"/>
  <c r="F791" i="5" a="1"/>
  <c r="F791" i="5" s="1"/>
  <c r="I791" i="5" s="1"/>
  <c r="H790" i="5"/>
  <c r="F790" i="5" a="1"/>
  <c r="F790" i="5" s="1"/>
  <c r="I790" i="5" s="1"/>
  <c r="H789" i="5"/>
  <c r="F789" i="5" a="1"/>
  <c r="F789" i="5" s="1"/>
  <c r="H788" i="5"/>
  <c r="F788" i="5" a="1"/>
  <c r="F788" i="5" s="1"/>
  <c r="H787" i="5"/>
  <c r="F787" i="5" a="1"/>
  <c r="F787" i="5" s="1"/>
  <c r="H786" i="5"/>
  <c r="F786" i="5" a="1"/>
  <c r="F786" i="5" s="1"/>
  <c r="H785" i="5"/>
  <c r="F785" i="5" a="1"/>
  <c r="F785" i="5" s="1"/>
  <c r="H784" i="5"/>
  <c r="F784" i="5" a="1"/>
  <c r="F784" i="5" s="1"/>
  <c r="H783" i="5"/>
  <c r="F783" i="5" a="1"/>
  <c r="F783" i="5" s="1"/>
  <c r="H782" i="5"/>
  <c r="F782" i="5" a="1"/>
  <c r="F782" i="5" s="1"/>
  <c r="H781" i="5"/>
  <c r="F781" i="5" a="1"/>
  <c r="F781" i="5" s="1"/>
  <c r="H780" i="5"/>
  <c r="F780" i="5" a="1"/>
  <c r="F780" i="5" s="1"/>
  <c r="F779" i="5" a="1"/>
  <c r="F779" i="5" s="1"/>
  <c r="I779" i="5" s="1"/>
  <c r="H778" i="5"/>
  <c r="F778" i="5" a="1"/>
  <c r="F778" i="5" s="1"/>
  <c r="I778" i="5" s="1"/>
  <c r="H777" i="5"/>
  <c r="F777" i="5" a="1"/>
  <c r="F777" i="5" s="1"/>
  <c r="I777" i="5" s="1"/>
  <c r="H776" i="5"/>
  <c r="F776" i="5" a="1"/>
  <c r="F776" i="5" s="1"/>
  <c r="I776" i="5" s="1"/>
  <c r="H775" i="5"/>
  <c r="F775" i="5" a="1"/>
  <c r="F775" i="5" s="1"/>
  <c r="I775" i="5" s="1"/>
  <c r="H774" i="5"/>
  <c r="F774" i="5" a="1"/>
  <c r="F774" i="5" s="1"/>
  <c r="I774" i="5" s="1"/>
  <c r="H773" i="5"/>
  <c r="F773" i="5" a="1"/>
  <c r="F773" i="5" s="1"/>
  <c r="I773" i="5" s="1"/>
  <c r="H772" i="5"/>
  <c r="F772" i="5" a="1"/>
  <c r="F772" i="5" s="1"/>
  <c r="I772" i="5" s="1"/>
  <c r="H771" i="5"/>
  <c r="F771" i="5" a="1"/>
  <c r="F771" i="5" s="1"/>
  <c r="I771" i="5" s="1"/>
  <c r="F770" i="5" a="1"/>
  <c r="F770" i="5" s="1"/>
  <c r="H769" i="5"/>
  <c r="F769" i="5" a="1"/>
  <c r="F769" i="5" s="1"/>
  <c r="I769" i="5" s="1"/>
  <c r="H768" i="5"/>
  <c r="F768" i="5" a="1"/>
  <c r="F768" i="5" s="1"/>
  <c r="I768" i="5" s="1"/>
  <c r="H767" i="5"/>
  <c r="F767" i="5" a="1"/>
  <c r="F767" i="5" s="1"/>
  <c r="I767" i="5" s="1"/>
  <c r="H766" i="5"/>
  <c r="F766" i="5" a="1"/>
  <c r="F766" i="5" s="1"/>
  <c r="I766" i="5" s="1"/>
  <c r="H765" i="5"/>
  <c r="F765" i="5" a="1"/>
  <c r="F765" i="5" s="1"/>
  <c r="I765" i="5" s="1"/>
  <c r="H764" i="5"/>
  <c r="F764" i="5" a="1"/>
  <c r="F764" i="5" s="1"/>
  <c r="I764" i="5" s="1"/>
  <c r="H763" i="5"/>
  <c r="F763" i="5" a="1"/>
  <c r="F763" i="5" s="1"/>
  <c r="I763" i="5" s="1"/>
  <c r="F762" i="5" a="1"/>
  <c r="F762" i="5" s="1"/>
  <c r="H761" i="5"/>
  <c r="F761" i="5" a="1"/>
  <c r="F761" i="5" s="1"/>
  <c r="H760" i="5"/>
  <c r="F760" i="5" a="1"/>
  <c r="F760" i="5" s="1"/>
  <c r="I760" i="5" s="1"/>
  <c r="H759" i="5"/>
  <c r="F759" i="5" a="1"/>
  <c r="F759" i="5" s="1"/>
  <c r="H758" i="5"/>
  <c r="F758" i="5" a="1"/>
  <c r="F758" i="5" s="1"/>
  <c r="H757" i="5"/>
  <c r="F757" i="5" a="1"/>
  <c r="F757" i="5" s="1"/>
  <c r="H756" i="5"/>
  <c r="F756" i="5" a="1"/>
  <c r="F756" i="5" s="1"/>
  <c r="H755" i="5"/>
  <c r="F755" i="5" a="1"/>
  <c r="F755" i="5" s="1"/>
  <c r="I755" i="5" s="1"/>
  <c r="H754" i="5"/>
  <c r="F754" i="5" a="1"/>
  <c r="F754" i="5" s="1"/>
  <c r="I754" i="5" s="1"/>
  <c r="H753" i="5"/>
  <c r="F753" i="5" a="1"/>
  <c r="F753" i="5" s="1"/>
  <c r="H752" i="5"/>
  <c r="F752" i="5" a="1"/>
  <c r="F752" i="5" s="1"/>
  <c r="I752" i="5" s="1"/>
  <c r="H751" i="5"/>
  <c r="F751" i="5" a="1"/>
  <c r="F751" i="5" s="1"/>
  <c r="I751" i="5" s="1"/>
  <c r="H750" i="5"/>
  <c r="F750" i="5" a="1"/>
  <c r="F750" i="5" s="1"/>
  <c r="I750" i="5" s="1"/>
  <c r="H749" i="5"/>
  <c r="F749" i="5" a="1"/>
  <c r="F749" i="5" s="1"/>
  <c r="I749" i="5" s="1"/>
  <c r="H748" i="5"/>
  <c r="F748" i="5" a="1"/>
  <c r="F748" i="5" s="1"/>
  <c r="I748" i="5" s="1"/>
  <c r="H747" i="5"/>
  <c r="F747" i="5" a="1"/>
  <c r="F747" i="5" s="1"/>
  <c r="I747" i="5" s="1"/>
  <c r="H746" i="5"/>
  <c r="F746" i="5" a="1"/>
  <c r="F746" i="5" s="1"/>
  <c r="I746" i="5" s="1"/>
  <c r="H745" i="5"/>
  <c r="F745" i="5" a="1"/>
  <c r="F745" i="5" s="1"/>
  <c r="I745" i="5" s="1"/>
  <c r="H744" i="5"/>
  <c r="F744" i="5" a="1"/>
  <c r="F744" i="5" s="1"/>
  <c r="I744" i="5" s="1"/>
  <c r="H743" i="5"/>
  <c r="F743" i="5" a="1"/>
  <c r="F743" i="5" s="1"/>
  <c r="I743" i="5" s="1"/>
  <c r="H742" i="5"/>
  <c r="F742" i="5" a="1"/>
  <c r="F742" i="5" s="1"/>
  <c r="I742" i="5" s="1"/>
  <c r="H741" i="5"/>
  <c r="F741" i="5" a="1"/>
  <c r="F741" i="5" s="1"/>
  <c r="I741" i="5" s="1"/>
  <c r="H740" i="5"/>
  <c r="F740" i="5" a="1"/>
  <c r="F740" i="5" s="1"/>
  <c r="I740" i="5" s="1"/>
  <c r="H739" i="5"/>
  <c r="F739" i="5" a="1"/>
  <c r="F739" i="5" s="1"/>
  <c r="I739" i="5" s="1"/>
  <c r="H738" i="5"/>
  <c r="F738" i="5" a="1"/>
  <c r="F738" i="5" s="1"/>
  <c r="I738" i="5" s="1"/>
  <c r="H737" i="5"/>
  <c r="F737" i="5" a="1"/>
  <c r="F737" i="5" s="1"/>
  <c r="I737" i="5" s="1"/>
  <c r="H736" i="5"/>
  <c r="F736" i="5" a="1"/>
  <c r="F736" i="5" s="1"/>
  <c r="I736" i="5" s="1"/>
  <c r="H735" i="5"/>
  <c r="F735" i="5" a="1"/>
  <c r="F735" i="5" s="1"/>
  <c r="I735" i="5" s="1"/>
  <c r="H734" i="5"/>
  <c r="F734" i="5" a="1"/>
  <c r="F734" i="5" s="1"/>
  <c r="I734" i="5" s="1"/>
  <c r="H733" i="5"/>
  <c r="F733" i="5" a="1"/>
  <c r="F733" i="5" s="1"/>
  <c r="I733" i="5" s="1"/>
  <c r="H732" i="5"/>
  <c r="F732" i="5" a="1"/>
  <c r="F732" i="5" s="1"/>
  <c r="I732" i="5" s="1"/>
  <c r="H731" i="5"/>
  <c r="F731" i="5" a="1"/>
  <c r="F731" i="5" s="1"/>
  <c r="I731" i="5" s="1"/>
  <c r="H730" i="5"/>
  <c r="F730" i="5" a="1"/>
  <c r="F730" i="5" s="1"/>
  <c r="I730" i="5" s="1"/>
  <c r="H729" i="5"/>
  <c r="F729" i="5" a="1"/>
  <c r="F729" i="5" s="1"/>
  <c r="I729" i="5" s="1"/>
  <c r="H728" i="5"/>
  <c r="F728" i="5" a="1"/>
  <c r="F728" i="5" s="1"/>
  <c r="I728" i="5" s="1"/>
  <c r="H727" i="5"/>
  <c r="F727" i="5" a="1"/>
  <c r="F727" i="5" s="1"/>
  <c r="I727" i="5" s="1"/>
  <c r="H726" i="5"/>
  <c r="F726" i="5" a="1"/>
  <c r="F726" i="5" s="1"/>
  <c r="I726" i="5" s="1"/>
  <c r="H725" i="5"/>
  <c r="F725" i="5" a="1"/>
  <c r="F725" i="5" s="1"/>
  <c r="I725" i="5" s="1"/>
  <c r="F724" i="5" a="1"/>
  <c r="F724" i="5" s="1"/>
  <c r="H723" i="5"/>
  <c r="F723" i="5" a="1"/>
  <c r="F723" i="5" s="1"/>
  <c r="I723" i="5" s="1"/>
  <c r="H722" i="5"/>
  <c r="F722" i="5" a="1"/>
  <c r="F722" i="5" s="1"/>
  <c r="I722" i="5" s="1"/>
  <c r="H721" i="5"/>
  <c r="F721" i="5" a="1"/>
  <c r="F721" i="5" s="1"/>
  <c r="H720" i="5"/>
  <c r="F720" i="5" a="1"/>
  <c r="F720" i="5" s="1"/>
  <c r="I720" i="5" s="1"/>
  <c r="H719" i="5"/>
  <c r="F719" i="5" a="1"/>
  <c r="F719" i="5" s="1"/>
  <c r="I719" i="5" s="1"/>
  <c r="H718" i="5"/>
  <c r="F718" i="5" a="1"/>
  <c r="F718" i="5" s="1"/>
  <c r="I718" i="5" s="1"/>
  <c r="H717" i="5"/>
  <c r="F717" i="5" a="1"/>
  <c r="F717" i="5" s="1"/>
  <c r="I717" i="5" s="1"/>
  <c r="H716" i="5"/>
  <c r="F716" i="5" a="1"/>
  <c r="F716" i="5" s="1"/>
  <c r="I716" i="5" s="1"/>
  <c r="H715" i="5"/>
  <c r="F715" i="5" a="1"/>
  <c r="F715" i="5" s="1"/>
  <c r="I715" i="5" s="1"/>
  <c r="H714" i="5"/>
  <c r="F714" i="5" a="1"/>
  <c r="F714" i="5" s="1"/>
  <c r="I714" i="5" s="1"/>
  <c r="H713" i="5"/>
  <c r="F713" i="5" a="1"/>
  <c r="F713" i="5" s="1"/>
  <c r="I713" i="5" s="1"/>
  <c r="H712" i="5"/>
  <c r="F712" i="5" a="1"/>
  <c r="F712" i="5" s="1"/>
  <c r="I712" i="5" s="1"/>
  <c r="H711" i="5"/>
  <c r="F711" i="5" a="1"/>
  <c r="F711" i="5" s="1"/>
  <c r="I711" i="5" s="1"/>
  <c r="H710" i="5"/>
  <c r="F710" i="5" a="1"/>
  <c r="F710" i="5" s="1"/>
  <c r="I710" i="5" s="1"/>
  <c r="H709" i="5"/>
  <c r="F709" i="5" a="1"/>
  <c r="F709" i="5" s="1"/>
  <c r="I709" i="5" s="1"/>
  <c r="H708" i="5"/>
  <c r="F708" i="5" a="1"/>
  <c r="F708" i="5" s="1"/>
  <c r="I708" i="5" s="1"/>
  <c r="H707" i="5"/>
  <c r="F707" i="5" a="1"/>
  <c r="F707" i="5" s="1"/>
  <c r="I707" i="5" s="1"/>
  <c r="H706" i="5"/>
  <c r="F706" i="5" a="1"/>
  <c r="F706" i="5" s="1"/>
  <c r="I706" i="5" s="1"/>
  <c r="H705" i="5"/>
  <c r="F705" i="5" a="1"/>
  <c r="F705" i="5" s="1"/>
  <c r="I705" i="5" s="1"/>
  <c r="H704" i="5"/>
  <c r="F704" i="5" a="1"/>
  <c r="F704" i="5" s="1"/>
  <c r="I704" i="5" s="1"/>
  <c r="H703" i="5"/>
  <c r="F703" i="5" a="1"/>
  <c r="F703" i="5" s="1"/>
  <c r="I703" i="5" s="1"/>
  <c r="H702" i="5"/>
  <c r="F702" i="5" a="1"/>
  <c r="F702" i="5" s="1"/>
  <c r="I702" i="5" s="1"/>
  <c r="H701" i="5"/>
  <c r="F701" i="5" a="1"/>
  <c r="F701" i="5" s="1"/>
  <c r="I701" i="5" s="1"/>
  <c r="H700" i="5"/>
  <c r="F700" i="5" a="1"/>
  <c r="F700" i="5" s="1"/>
  <c r="I700" i="5" s="1"/>
  <c r="H699" i="5"/>
  <c r="F699" i="5" a="1"/>
  <c r="F699" i="5" s="1"/>
  <c r="I699" i="5" s="1"/>
  <c r="H698" i="5"/>
  <c r="F698" i="5" a="1"/>
  <c r="F698" i="5" s="1"/>
  <c r="I698" i="5" s="1"/>
  <c r="H697" i="5"/>
  <c r="F697" i="5" a="1"/>
  <c r="F697" i="5" s="1"/>
  <c r="I697" i="5" s="1"/>
  <c r="H696" i="5"/>
  <c r="F696" i="5" a="1"/>
  <c r="F696" i="5" s="1"/>
  <c r="I696" i="5" s="1"/>
  <c r="H695" i="5"/>
  <c r="F695" i="5" a="1"/>
  <c r="F695" i="5" s="1"/>
  <c r="I695" i="5" s="1"/>
  <c r="H694" i="5"/>
  <c r="F694" i="5" a="1"/>
  <c r="F694" i="5" s="1"/>
  <c r="I694" i="5" s="1"/>
  <c r="H693" i="5"/>
  <c r="F693" i="5" a="1"/>
  <c r="F693" i="5" s="1"/>
  <c r="I693" i="5" s="1"/>
  <c r="H692" i="5"/>
  <c r="F692" i="5" a="1"/>
  <c r="F692" i="5" s="1"/>
  <c r="I692" i="5" s="1"/>
  <c r="F691" i="5" a="1"/>
  <c r="F691" i="5" s="1"/>
  <c r="F690" i="5" a="1"/>
  <c r="F690" i="5" s="1"/>
  <c r="F689" i="5" a="1"/>
  <c r="F689" i="5" s="1"/>
  <c r="H688" i="5"/>
  <c r="F688" i="5" a="1"/>
  <c r="F688" i="5" s="1"/>
  <c r="I688" i="5" s="1"/>
  <c r="F687" i="5" a="1"/>
  <c r="F687" i="5" s="1"/>
  <c r="I687" i="5" s="1"/>
  <c r="H686" i="5"/>
  <c r="F686" i="5" a="1"/>
  <c r="F686" i="5" s="1"/>
  <c r="I686" i="5" s="1"/>
  <c r="H685" i="5"/>
  <c r="F685" i="5" a="1"/>
  <c r="F685" i="5" s="1"/>
  <c r="I685" i="5" s="1"/>
  <c r="H684" i="5"/>
  <c r="F684" i="5" a="1"/>
  <c r="F684" i="5" s="1"/>
  <c r="I684" i="5" s="1"/>
  <c r="H683" i="5"/>
  <c r="F683" i="5" a="1"/>
  <c r="F683" i="5" s="1"/>
  <c r="I683" i="5" s="1"/>
  <c r="H682" i="5"/>
  <c r="F682" i="5" a="1"/>
  <c r="F682" i="5" s="1"/>
  <c r="I682" i="5" s="1"/>
  <c r="H681" i="5"/>
  <c r="F681" i="5" a="1"/>
  <c r="F681" i="5" s="1"/>
  <c r="I681" i="5" s="1"/>
  <c r="H680" i="5"/>
  <c r="F680" i="5" a="1"/>
  <c r="F680" i="5" s="1"/>
  <c r="I680" i="5" s="1"/>
  <c r="H679" i="5"/>
  <c r="F679" i="5" a="1"/>
  <c r="F679" i="5" s="1"/>
  <c r="I679" i="5" s="1"/>
  <c r="H678" i="5"/>
  <c r="F678" i="5" a="1"/>
  <c r="F678" i="5" s="1"/>
  <c r="I678" i="5" s="1"/>
  <c r="H677" i="5"/>
  <c r="F677" i="5" a="1"/>
  <c r="F677" i="5" s="1"/>
  <c r="I677" i="5" s="1"/>
  <c r="H675" i="5"/>
  <c r="F675" i="5" a="1"/>
  <c r="F675" i="5" s="1"/>
  <c r="H674" i="5"/>
  <c r="F674" i="5" a="1"/>
  <c r="F674" i="5" s="1"/>
  <c r="H672" i="5"/>
  <c r="F672" i="5" a="1"/>
  <c r="F672" i="5" s="1"/>
  <c r="I672" i="5" s="1"/>
  <c r="H671" i="5"/>
  <c r="F671" i="5" a="1"/>
  <c r="F671" i="5" s="1"/>
  <c r="I671" i="5" s="1"/>
  <c r="H670" i="5"/>
  <c r="F670" i="5" a="1"/>
  <c r="F670" i="5" s="1"/>
  <c r="I670" i="5" s="1"/>
  <c r="H669" i="5"/>
  <c r="F669" i="5" a="1"/>
  <c r="F669" i="5" s="1"/>
  <c r="I669" i="5" s="1"/>
  <c r="H668" i="5"/>
  <c r="F668" i="5" a="1"/>
  <c r="F668" i="5" s="1"/>
  <c r="I668" i="5" s="1"/>
  <c r="H667" i="5"/>
  <c r="F667" i="5" a="1"/>
  <c r="F667" i="5" s="1"/>
  <c r="I667" i="5" s="1"/>
  <c r="H666" i="5"/>
  <c r="F666" i="5" a="1"/>
  <c r="F666" i="5" s="1"/>
  <c r="I666" i="5" s="1"/>
  <c r="H665" i="5"/>
  <c r="F665" i="5" a="1"/>
  <c r="F665" i="5" s="1"/>
  <c r="I665" i="5" s="1"/>
  <c r="H664" i="5"/>
  <c r="F664" i="5" a="1"/>
  <c r="F664" i="5" s="1"/>
  <c r="I664" i="5" s="1"/>
  <c r="H662" i="5"/>
  <c r="F662" i="5" a="1"/>
  <c r="F662" i="5" s="1"/>
  <c r="I662" i="5" s="1"/>
  <c r="H661" i="5"/>
  <c r="F661" i="5" a="1"/>
  <c r="F661" i="5" s="1"/>
  <c r="I661" i="5" s="1"/>
  <c r="H660" i="5"/>
  <c r="F660" i="5" a="1"/>
  <c r="F660" i="5" s="1"/>
  <c r="I660" i="5" s="1"/>
  <c r="H659" i="5"/>
  <c r="F659" i="5" a="1"/>
  <c r="F659" i="5" s="1"/>
  <c r="I659" i="5" s="1"/>
  <c r="H658" i="5"/>
  <c r="F658" i="5" a="1"/>
  <c r="F658" i="5" s="1"/>
  <c r="I658" i="5" s="1"/>
  <c r="H657" i="5"/>
  <c r="F657" i="5" a="1"/>
  <c r="F657" i="5" s="1"/>
  <c r="I657" i="5" s="1"/>
  <c r="H655" i="5"/>
  <c r="F655" i="5" a="1"/>
  <c r="F655" i="5" s="1"/>
  <c r="I655" i="5" s="1"/>
  <c r="H651" i="5"/>
  <c r="F651" i="5" a="1"/>
  <c r="F651" i="5" s="1"/>
  <c r="I651" i="5" s="1"/>
  <c r="H644" i="5"/>
  <c r="F644" i="5" a="1"/>
  <c r="F644" i="5" s="1"/>
  <c r="I644" i="5" s="1"/>
  <c r="H636" i="5"/>
  <c r="F636" i="5" a="1"/>
  <c r="F636" i="5" s="1"/>
  <c r="I636" i="5" s="1"/>
  <c r="H635" i="5"/>
  <c r="F635" i="5" a="1"/>
  <c r="F635" i="5" s="1"/>
  <c r="I635" i="5" s="1"/>
  <c r="H634" i="5"/>
  <c r="F634" i="5" a="1"/>
  <c r="F634" i="5" s="1"/>
  <c r="I634" i="5" s="1"/>
  <c r="H632" i="5"/>
  <c r="F632" i="5" a="1"/>
  <c r="F632" i="5" s="1"/>
  <c r="I632" i="5" s="1"/>
  <c r="H623" i="5"/>
  <c r="F623" i="5" a="1"/>
  <c r="F623" i="5" s="1"/>
  <c r="I623" i="5" s="1"/>
  <c r="H606" i="5"/>
  <c r="F606" i="5" a="1"/>
  <c r="F606" i="5" s="1"/>
  <c r="I606" i="5" s="1"/>
  <c r="H594" i="5"/>
  <c r="F594" i="5" a="1"/>
  <c r="F594" i="5" s="1"/>
  <c r="I594" i="5" s="1"/>
  <c r="H593" i="5"/>
  <c r="F593" i="5" a="1"/>
  <c r="F593" i="5" s="1"/>
  <c r="I593" i="5" s="1"/>
  <c r="H592" i="5"/>
  <c r="F592" i="5" a="1"/>
  <c r="F592" i="5" s="1"/>
  <c r="I592" i="5" s="1"/>
  <c r="H591" i="5"/>
  <c r="F591" i="5" a="1"/>
  <c r="F591" i="5" s="1"/>
  <c r="I591" i="5" s="1"/>
  <c r="H590" i="5"/>
  <c r="F590" i="5" a="1"/>
  <c r="F590" i="5" s="1"/>
  <c r="I590" i="5" s="1"/>
  <c r="H589" i="5"/>
  <c r="F589" i="5" a="1"/>
  <c r="F589" i="5" s="1"/>
  <c r="I589" i="5" s="1"/>
  <c r="H588" i="5"/>
  <c r="F588" i="5" a="1"/>
  <c r="F588" i="5" s="1"/>
  <c r="I588" i="5" s="1"/>
  <c r="H587" i="5"/>
  <c r="F587" i="5" a="1"/>
  <c r="F587" i="5" s="1"/>
  <c r="I587" i="5" s="1"/>
  <c r="H586" i="5"/>
  <c r="F586" i="5" a="1"/>
  <c r="F586" i="5" s="1"/>
  <c r="I586" i="5" s="1"/>
  <c r="H585" i="5"/>
  <c r="F585" i="5" a="1"/>
  <c r="F585" i="5" s="1"/>
  <c r="I585" i="5" s="1"/>
  <c r="H584" i="5"/>
  <c r="F584" i="5" a="1"/>
  <c r="F584" i="5" s="1"/>
  <c r="I584" i="5" s="1"/>
  <c r="H575" i="5"/>
  <c r="F575" i="5" a="1"/>
  <c r="F575" i="5" s="1"/>
  <c r="I575" i="5" s="1"/>
  <c r="H571" i="5"/>
  <c r="F571" i="5" a="1"/>
  <c r="F571" i="5" s="1"/>
  <c r="I571" i="5" s="1"/>
  <c r="H530" i="5"/>
  <c r="F530" i="5" a="1"/>
  <c r="F530" i="5" s="1"/>
  <c r="H527" i="5"/>
  <c r="F527" i="5" a="1"/>
  <c r="F527" i="5" s="1"/>
  <c r="H489" i="5"/>
  <c r="F489" i="5" a="1"/>
  <c r="F489" i="5" s="1"/>
  <c r="I489" i="5" s="1"/>
  <c r="H488" i="5"/>
  <c r="F488" i="5" a="1"/>
  <c r="F488" i="5" s="1"/>
  <c r="I488" i="5" s="1"/>
  <c r="H468" i="5"/>
  <c r="F468" i="5" a="1"/>
  <c r="F468" i="5" s="1"/>
  <c r="I468" i="5" s="1"/>
  <c r="H413" i="5"/>
  <c r="F413" i="5" a="1"/>
  <c r="F413" i="5" s="1"/>
  <c r="I413" i="5" s="1"/>
  <c r="H355" i="5"/>
  <c r="F355" i="5" a="1"/>
  <c r="F355" i="5" s="1"/>
  <c r="I355" i="5" s="1"/>
  <c r="L30" i="8"/>
  <c r="K30" i="8"/>
  <c r="J30" i="8"/>
  <c r="I30" i="8"/>
  <c r="E30" i="8"/>
  <c r="D30" i="8"/>
  <c r="C30" i="8"/>
  <c r="B30" i="8"/>
  <c r="L29" i="8"/>
  <c r="K29" i="8"/>
  <c r="J29" i="8"/>
  <c r="I29" i="8"/>
  <c r="E29" i="8"/>
  <c r="D29" i="8"/>
  <c r="C29" i="8"/>
  <c r="B29" i="8"/>
  <c r="L28" i="8"/>
  <c r="K28" i="8"/>
  <c r="J28" i="8"/>
  <c r="I28" i="8"/>
  <c r="E28" i="8"/>
  <c r="D28" i="8"/>
  <c r="C28" i="8"/>
  <c r="B28" i="8"/>
  <c r="L27" i="8"/>
  <c r="K27" i="8"/>
  <c r="J27" i="8"/>
  <c r="I27" i="8"/>
  <c r="E27" i="8"/>
  <c r="D27" i="8"/>
  <c r="C27" i="8"/>
  <c r="B27" i="8"/>
  <c r="L26" i="8"/>
  <c r="K26" i="8"/>
  <c r="J26" i="8"/>
  <c r="I26" i="8"/>
  <c r="E26" i="8"/>
  <c r="D26" i="8"/>
  <c r="C26" i="8"/>
  <c r="B26" i="8"/>
  <c r="L25" i="8"/>
  <c r="K25" i="8"/>
  <c r="J25" i="8"/>
  <c r="I25" i="8"/>
  <c r="E25" i="8"/>
  <c r="D25" i="8"/>
  <c r="C25" i="8"/>
  <c r="B25" i="8"/>
  <c r="L24" i="8"/>
  <c r="K24" i="8"/>
  <c r="J24" i="8"/>
  <c r="I24" i="8"/>
  <c r="E24" i="8"/>
  <c r="D24" i="8"/>
  <c r="C24" i="8"/>
  <c r="B24" i="8"/>
  <c r="L23" i="8"/>
  <c r="K23" i="8"/>
  <c r="J23" i="8"/>
  <c r="I23" i="8"/>
  <c r="E23" i="8"/>
  <c r="D23" i="8"/>
  <c r="C23" i="8"/>
  <c r="B23" i="8"/>
  <c r="L22" i="8"/>
  <c r="K22" i="8"/>
  <c r="J22" i="8"/>
  <c r="I22" i="8"/>
  <c r="E22" i="8"/>
  <c r="D22" i="8"/>
  <c r="C22" i="8"/>
  <c r="B22" i="8"/>
  <c r="L21" i="8"/>
  <c r="K21" i="8"/>
  <c r="J21" i="8"/>
  <c r="I21" i="8"/>
  <c r="E21" i="8"/>
  <c r="D21" i="8"/>
  <c r="C21" i="8"/>
  <c r="B21" i="8"/>
  <c r="L20" i="8"/>
  <c r="K20" i="8"/>
  <c r="J20" i="8"/>
  <c r="I20" i="8"/>
  <c r="E20" i="8"/>
  <c r="D20" i="8"/>
  <c r="C20" i="8"/>
  <c r="B20" i="8"/>
  <c r="L19" i="8"/>
  <c r="K19" i="8"/>
  <c r="J19" i="8"/>
  <c r="I19" i="8"/>
  <c r="E19" i="8"/>
  <c r="D19" i="8"/>
  <c r="C19" i="8"/>
  <c r="B19" i="8"/>
  <c r="L14" i="8"/>
  <c r="K14" i="8"/>
  <c r="J14" i="8"/>
  <c r="I14" i="8"/>
  <c r="E14" i="8"/>
  <c r="D14" i="8"/>
  <c r="C14" i="8"/>
  <c r="B14" i="8"/>
  <c r="L13" i="8"/>
  <c r="K13" i="8"/>
  <c r="J13" i="8"/>
  <c r="I13" i="8"/>
  <c r="E13" i="8"/>
  <c r="D13" i="8"/>
  <c r="C13" i="8"/>
  <c r="B13" i="8"/>
  <c r="L12" i="8"/>
  <c r="K12" i="8"/>
  <c r="J12" i="8"/>
  <c r="I12" i="8"/>
  <c r="E12" i="8"/>
  <c r="D12" i="8"/>
  <c r="C12" i="8"/>
  <c r="B12" i="8"/>
  <c r="L11" i="8"/>
  <c r="K11" i="8"/>
  <c r="J11" i="8"/>
  <c r="I11" i="8"/>
  <c r="E11" i="8"/>
  <c r="D11" i="8"/>
  <c r="C11" i="8"/>
  <c r="B11" i="8"/>
  <c r="L10" i="8"/>
  <c r="K10" i="8"/>
  <c r="J10" i="8"/>
  <c r="I10" i="8"/>
  <c r="E10" i="8"/>
  <c r="D10" i="8"/>
  <c r="C10" i="8"/>
  <c r="B10" i="8"/>
  <c r="L9" i="8"/>
  <c r="K9" i="8"/>
  <c r="J9" i="8"/>
  <c r="I9" i="8"/>
  <c r="E9" i="8"/>
  <c r="D9" i="8"/>
  <c r="C9" i="8"/>
  <c r="B9" i="8"/>
  <c r="L8" i="8"/>
  <c r="K8" i="8"/>
  <c r="J8" i="8"/>
  <c r="I8" i="8"/>
  <c r="E8" i="8"/>
  <c r="D8" i="8"/>
  <c r="C8" i="8"/>
  <c r="B8" i="8"/>
  <c r="L7" i="8"/>
  <c r="K7" i="8"/>
  <c r="J7" i="8"/>
  <c r="I7" i="8"/>
  <c r="E7" i="8"/>
  <c r="D7" i="8"/>
  <c r="C7" i="8"/>
  <c r="B7" i="8"/>
  <c r="L6" i="8"/>
  <c r="K6" i="8"/>
  <c r="J6" i="8"/>
  <c r="I6" i="8"/>
  <c r="E6" i="8"/>
  <c r="D6" i="8"/>
  <c r="C6" i="8"/>
  <c r="B6" i="8"/>
  <c r="L5" i="8"/>
  <c r="K5" i="8"/>
  <c r="J5" i="8"/>
  <c r="I5" i="8"/>
  <c r="E5" i="8"/>
  <c r="D5" i="8"/>
  <c r="C5" i="8"/>
  <c r="B5" i="8"/>
  <c r="L4" i="8"/>
  <c r="K4" i="8"/>
  <c r="J4" i="8"/>
  <c r="I4" i="8"/>
  <c r="E4" i="8"/>
  <c r="D4" i="8"/>
  <c r="C4" i="8"/>
  <c r="B4" i="8"/>
  <c r="L3" i="8"/>
  <c r="K3" i="8"/>
  <c r="J3" i="8"/>
  <c r="I3" i="8"/>
  <c r="E3" i="8"/>
  <c r="D3" i="8"/>
  <c r="C3" i="8"/>
  <c r="B3" i="8"/>
  <c r="Q43" i="5"/>
  <c r="Q42" i="5"/>
  <c r="Q41" i="5"/>
  <c r="Q40" i="5"/>
  <c r="Q39" i="5"/>
  <c r="Q38" i="5"/>
  <c r="Q37" i="5"/>
  <c r="Q35" i="5"/>
  <c r="Q34" i="5"/>
  <c r="Q33" i="5"/>
  <c r="Q32" i="5"/>
  <c r="Q31" i="5"/>
  <c r="Q30" i="5"/>
  <c r="Q29" i="5"/>
  <c r="Q27" i="5"/>
  <c r="Q26" i="5"/>
  <c r="U28" i="5"/>
  <c r="Q25" i="5"/>
  <c r="U27" i="5"/>
  <c r="Q24" i="5"/>
  <c r="U26" i="5"/>
  <c r="Q23" i="5"/>
  <c r="U25" i="5"/>
  <c r="Q22" i="5"/>
  <c r="Q21" i="5"/>
  <c r="U23" i="5"/>
  <c r="U22" i="5"/>
  <c r="U21" i="5"/>
  <c r="Q14" i="5"/>
  <c r="Q13" i="5"/>
  <c r="Q12" i="5"/>
  <c r="U13" i="5"/>
  <c r="Q11" i="5"/>
  <c r="U12" i="5"/>
  <c r="U10" i="5"/>
  <c r="Q9" i="5"/>
  <c r="Q8" i="5"/>
  <c r="U8" i="5"/>
  <c r="Q7" i="5"/>
  <c r="U6" i="5"/>
  <c r="Q6" i="5"/>
  <c r="U5" i="5"/>
  <c r="Q5" i="5"/>
  <c r="Q5" i="6"/>
  <c r="Q10" i="6"/>
  <c r="Q9" i="6"/>
  <c r="Q8" i="6"/>
  <c r="Q7" i="6"/>
  <c r="Q6" i="6"/>
  <c r="Q4" i="6"/>
  <c r="H405" i="6"/>
  <c r="H404" i="6"/>
  <c r="H403" i="6"/>
  <c r="H402" i="6"/>
  <c r="H401" i="6"/>
  <c r="H400" i="6"/>
  <c r="H399" i="6"/>
  <c r="H398" i="6"/>
  <c r="H397" i="6"/>
  <c r="H396" i="6"/>
  <c r="H395" i="6"/>
  <c r="H394" i="6"/>
  <c r="H393" i="6"/>
  <c r="H392" i="6"/>
  <c r="H391" i="6"/>
  <c r="H390" i="6"/>
  <c r="H389" i="6"/>
  <c r="H388" i="6"/>
  <c r="H386" i="6"/>
  <c r="H385" i="6"/>
  <c r="H381" i="6"/>
  <c r="H379" i="6"/>
  <c r="H378" i="6"/>
  <c r="H377" i="6"/>
  <c r="H376" i="6"/>
  <c r="H375" i="6"/>
  <c r="H374" i="6"/>
  <c r="H373" i="6"/>
  <c r="H371" i="6"/>
  <c r="H367" i="6"/>
  <c r="H366" i="6"/>
  <c r="H308" i="6"/>
  <c r="H277" i="6"/>
  <c r="H460" i="6"/>
  <c r="H459" i="6"/>
  <c r="H458" i="6"/>
  <c r="H457" i="6"/>
  <c r="H456" i="6"/>
  <c r="H455" i="6"/>
  <c r="H454" i="6"/>
  <c r="H453" i="6"/>
  <c r="H452" i="6"/>
  <c r="H451" i="6"/>
  <c r="H450" i="6"/>
  <c r="H449" i="6"/>
  <c r="H448" i="6"/>
  <c r="H447" i="6"/>
  <c r="H446" i="6"/>
  <c r="H445" i="6"/>
  <c r="H444" i="6"/>
  <c r="H442" i="6"/>
  <c r="H441" i="6"/>
  <c r="H440" i="6"/>
  <c r="H439" i="6"/>
  <c r="H438" i="6"/>
  <c r="H443" i="6"/>
  <c r="H437" i="6"/>
  <c r="H436" i="6"/>
  <c r="H435" i="6"/>
  <c r="H434" i="6"/>
  <c r="H433" i="6"/>
  <c r="H432" i="6"/>
  <c r="H431" i="6"/>
  <c r="H430" i="6"/>
  <c r="H429" i="6"/>
  <c r="H428" i="6"/>
  <c r="H427" i="6"/>
  <c r="H426" i="6"/>
  <c r="H425" i="6"/>
  <c r="H424" i="6"/>
  <c r="H423" i="6"/>
  <c r="H422" i="6"/>
  <c r="H421" i="6"/>
  <c r="H420" i="6"/>
  <c r="H419" i="6"/>
  <c r="H418" i="6"/>
  <c r="H417" i="6"/>
  <c r="H416" i="6"/>
  <c r="H415" i="6"/>
  <c r="H414" i="6"/>
  <c r="H413" i="6"/>
  <c r="H412" i="6"/>
  <c r="H524" i="6"/>
  <c r="H523" i="6"/>
  <c r="H522" i="6"/>
  <c r="H521" i="6"/>
  <c r="H519" i="6"/>
  <c r="H516" i="6"/>
  <c r="H515" i="6"/>
  <c r="H514" i="6"/>
  <c r="H513" i="6"/>
  <c r="H512" i="6"/>
  <c r="H511" i="6"/>
  <c r="H510" i="6"/>
  <c r="H509" i="6"/>
  <c r="H507" i="6"/>
  <c r="H506" i="6"/>
  <c r="H499" i="6"/>
  <c r="H498" i="6"/>
  <c r="H497" i="6"/>
  <c r="H496" i="6"/>
  <c r="H495" i="6"/>
  <c r="H494" i="6"/>
  <c r="H493" i="6"/>
  <c r="H489" i="6"/>
  <c r="H488" i="6"/>
  <c r="H487" i="6"/>
  <c r="H486" i="6"/>
  <c r="H485" i="6"/>
  <c r="H484" i="6"/>
  <c r="H483" i="6"/>
  <c r="H482" i="6"/>
  <c r="H481" i="6"/>
  <c r="H480" i="6"/>
  <c r="H479" i="6"/>
  <c r="H478" i="6"/>
  <c r="H477" i="6"/>
  <c r="H476" i="6"/>
  <c r="H475" i="6"/>
  <c r="H474" i="6"/>
  <c r="H473" i="6"/>
  <c r="H472" i="6"/>
  <c r="H471" i="6"/>
  <c r="H470" i="6"/>
  <c r="H468" i="6"/>
  <c r="H467" i="6"/>
  <c r="H466" i="6"/>
  <c r="H465" i="6"/>
  <c r="H464" i="6"/>
  <c r="H463" i="6"/>
  <c r="H462" i="6"/>
  <c r="H461" i="6"/>
  <c r="H854" i="6"/>
  <c r="H575" i="6"/>
  <c r="H565" i="6"/>
  <c r="H564" i="6"/>
  <c r="H563" i="6"/>
  <c r="H562" i="6"/>
  <c r="H561" i="6"/>
  <c r="H557" i="6"/>
  <c r="H556" i="6"/>
  <c r="H555" i="6"/>
  <c r="H550" i="6"/>
  <c r="H549" i="6"/>
  <c r="H548" i="6"/>
  <c r="H547" i="6"/>
  <c r="H546" i="6"/>
  <c r="H545" i="6"/>
  <c r="H544" i="6"/>
  <c r="H543" i="6"/>
  <c r="H540" i="6"/>
  <c r="H539" i="6"/>
  <c r="H528" i="6"/>
  <c r="H527" i="6"/>
  <c r="H526" i="6"/>
  <c r="H525" i="6"/>
  <c r="H580" i="6"/>
  <c r="H579" i="6"/>
  <c r="H578" i="6"/>
  <c r="H577" i="6"/>
  <c r="H576" i="6"/>
  <c r="H574" i="6"/>
  <c r="H573" i="6"/>
  <c r="H572" i="6"/>
  <c r="H571" i="6"/>
  <c r="H570" i="6"/>
  <c r="H569" i="6"/>
  <c r="H568" i="6"/>
  <c r="H567" i="6"/>
  <c r="H566" i="6"/>
  <c r="H560" i="6"/>
  <c r="H559" i="6"/>
  <c r="H558" i="6"/>
  <c r="H553" i="6"/>
  <c r="H552" i="6"/>
  <c r="H551" i="6"/>
  <c r="H542" i="6"/>
  <c r="H541" i="6"/>
  <c r="H538" i="6"/>
  <c r="H537" i="6"/>
  <c r="H536" i="6"/>
  <c r="H535" i="6"/>
  <c r="H534" i="6"/>
  <c r="H533" i="6"/>
  <c r="H532" i="6"/>
  <c r="H530" i="6"/>
  <c r="H529" i="6"/>
  <c r="H520" i="6"/>
  <c r="H518" i="6"/>
  <c r="H517" i="6"/>
  <c r="H505" i="6"/>
  <c r="H504" i="6"/>
  <c r="H503" i="6"/>
  <c r="H502" i="6"/>
  <c r="H501" i="6"/>
  <c r="H492" i="6"/>
  <c r="H491" i="6"/>
  <c r="H490" i="6"/>
  <c r="H384" i="6"/>
  <c r="H383" i="6"/>
  <c r="H382" i="6"/>
  <c r="H348" i="6"/>
  <c r="H275" i="6"/>
  <c r="H625" i="6"/>
  <c r="H624" i="6"/>
  <c r="H623" i="6"/>
  <c r="H622" i="6"/>
  <c r="H621" i="6"/>
  <c r="H620" i="6"/>
  <c r="H619" i="6"/>
  <c r="H618" i="6"/>
  <c r="H617" i="6"/>
  <c r="H616" i="6"/>
  <c r="H615" i="6"/>
  <c r="H614" i="6"/>
  <c r="H613" i="6"/>
  <c r="H612" i="6"/>
  <c r="H611" i="6"/>
  <c r="H610" i="6"/>
  <c r="H609" i="6"/>
  <c r="H608" i="6"/>
  <c r="H607" i="6"/>
  <c r="H606" i="6"/>
  <c r="H605" i="6"/>
  <c r="H604" i="6"/>
  <c r="H603" i="6"/>
  <c r="H602" i="6"/>
  <c r="H601" i="6"/>
  <c r="H599" i="6"/>
  <c r="H597" i="6"/>
  <c r="H596" i="6"/>
  <c r="H595" i="6"/>
  <c r="H593" i="6"/>
  <c r="H592" i="6"/>
  <c r="H591" i="6"/>
  <c r="H590" i="6"/>
  <c r="H589" i="6"/>
  <c r="H588" i="6"/>
  <c r="H587" i="6"/>
  <c r="H586" i="6"/>
  <c r="H585" i="6"/>
  <c r="H584" i="6"/>
  <c r="H583" i="6"/>
  <c r="H582" i="6"/>
  <c r="H581" i="6"/>
  <c r="H685" i="6"/>
  <c r="H674" i="6"/>
  <c r="H657" i="6"/>
  <c r="H652" i="6"/>
  <c r="H651" i="6"/>
  <c r="H650" i="6"/>
  <c r="H648" i="6"/>
  <c r="H646" i="6"/>
  <c r="H645" i="6"/>
  <c r="H644" i="6"/>
  <c r="H643" i="6"/>
  <c r="H642" i="6"/>
  <c r="H641" i="6"/>
  <c r="H640" i="6"/>
  <c r="H638" i="6"/>
  <c r="H633" i="6"/>
  <c r="H632" i="6"/>
  <c r="H631" i="6"/>
  <c r="H630" i="6"/>
  <c r="H629" i="6"/>
  <c r="H628" i="6"/>
  <c r="H627" i="6"/>
  <c r="H626" i="6"/>
  <c r="H340" i="6"/>
  <c r="H339" i="6"/>
  <c r="H855" i="6"/>
  <c r="H856" i="6"/>
  <c r="H857" i="6"/>
  <c r="H858" i="6"/>
  <c r="H859" i="6"/>
  <c r="H860" i="6"/>
  <c r="H861" i="6"/>
  <c r="H862" i="6"/>
  <c r="H863" i="6"/>
  <c r="H864" i="6"/>
  <c r="H865" i="6"/>
  <c r="H866" i="6"/>
  <c r="H867" i="6"/>
  <c r="H868" i="6"/>
  <c r="H869" i="6"/>
  <c r="H870" i="6"/>
  <c r="H871" i="6"/>
  <c r="H872" i="6"/>
  <c r="H873" i="6"/>
  <c r="H874" i="6"/>
  <c r="H875" i="6"/>
  <c r="H876" i="6"/>
  <c r="H877" i="6"/>
  <c r="H878" i="6"/>
  <c r="H879" i="6"/>
  <c r="H880" i="6"/>
  <c r="H881" i="6"/>
  <c r="H882" i="6"/>
  <c r="H883" i="6"/>
  <c r="H884" i="6"/>
  <c r="H885" i="6"/>
  <c r="H886" i="6"/>
  <c r="H887" i="6"/>
  <c r="H888" i="6"/>
  <c r="H889" i="6"/>
  <c r="H890" i="6"/>
  <c r="H891" i="6"/>
  <c r="H892" i="6"/>
  <c r="H893" i="6"/>
  <c r="H894" i="6"/>
  <c r="H895" i="6"/>
  <c r="H896" i="6"/>
  <c r="H897" i="6"/>
  <c r="H898" i="6"/>
  <c r="H899" i="6"/>
  <c r="H900" i="6"/>
  <c r="H901" i="6"/>
  <c r="H902" i="6"/>
  <c r="H903" i="6"/>
  <c r="H904" i="6"/>
  <c r="H905" i="6"/>
  <c r="H906" i="6"/>
  <c r="H907" i="6"/>
  <c r="H908" i="6"/>
  <c r="H909" i="6"/>
  <c r="H910" i="6"/>
  <c r="H911" i="6"/>
  <c r="H912" i="6"/>
  <c r="H913" i="6"/>
  <c r="H406" i="6"/>
  <c r="H407" i="6"/>
  <c r="H408" i="6"/>
  <c r="H409" i="6"/>
  <c r="H410" i="6"/>
  <c r="H411" i="6"/>
  <c r="H370" i="6"/>
  <c r="H372" i="6"/>
  <c r="H315" i="6"/>
  <c r="H31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41" i="6"/>
  <c r="H342" i="6"/>
  <c r="H343" i="6"/>
  <c r="H344" i="6"/>
  <c r="H345" i="6"/>
  <c r="H346" i="6"/>
  <c r="H347" i="6"/>
  <c r="H349" i="6"/>
  <c r="H350" i="6"/>
  <c r="H351" i="6"/>
  <c r="H352" i="6"/>
  <c r="H353" i="6"/>
  <c r="H354" i="6"/>
  <c r="H355" i="6"/>
  <c r="H356" i="6"/>
  <c r="H357" i="6"/>
  <c r="H358" i="6"/>
  <c r="H359" i="6"/>
  <c r="H360" i="6"/>
  <c r="H361" i="6"/>
  <c r="H362" i="6"/>
  <c r="H363" i="6"/>
  <c r="H364" i="6"/>
  <c r="H368" i="6"/>
  <c r="H36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4" i="6"/>
  <c r="H276" i="6"/>
  <c r="H278" i="6"/>
  <c r="H279" i="6"/>
  <c r="H280" i="6"/>
  <c r="H281" i="6"/>
  <c r="H282" i="6"/>
  <c r="H283" i="6"/>
  <c r="H284" i="6"/>
  <c r="H285" i="6"/>
  <c r="H286" i="6"/>
  <c r="H288" i="6"/>
  <c r="H289" i="6"/>
  <c r="H291" i="6"/>
  <c r="H292" i="6"/>
  <c r="H293" i="6"/>
  <c r="H294" i="6"/>
  <c r="H295" i="6"/>
  <c r="H296" i="6"/>
  <c r="H297" i="6"/>
  <c r="H298" i="6"/>
  <c r="H299" i="6"/>
  <c r="H300" i="6"/>
  <c r="H301" i="6"/>
  <c r="H302" i="6"/>
  <c r="H303" i="6"/>
  <c r="H304" i="6"/>
  <c r="H305" i="6"/>
  <c r="H306" i="6"/>
  <c r="H307" i="6"/>
  <c r="H309" i="6"/>
  <c r="H213" i="6"/>
  <c r="H199" i="6"/>
  <c r="H314" i="6"/>
  <c r="H313" i="6"/>
  <c r="H312" i="6"/>
  <c r="H311" i="6"/>
  <c r="H310" i="6"/>
  <c r="H217" i="6"/>
  <c r="H219" i="6"/>
  <c r="H220" i="6"/>
  <c r="H221" i="6"/>
  <c r="H223" i="6"/>
  <c r="H224" i="6"/>
  <c r="H225" i="6"/>
  <c r="H226" i="6"/>
  <c r="H233" i="6"/>
  <c r="H234" i="6"/>
  <c r="H235" i="6"/>
  <c r="H236" i="6"/>
  <c r="H237" i="6"/>
  <c r="H238" i="6"/>
  <c r="H240" i="6"/>
  <c r="H241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F259" i="6" a="1"/>
  <c r="F259" i="6" s="1"/>
  <c r="I259" i="6" s="1"/>
  <c r="F258" i="6" a="1"/>
  <c r="F258" i="6" s="1"/>
  <c r="I258" i="6" s="1"/>
  <c r="F257" i="6" a="1"/>
  <c r="F257" i="6" s="1"/>
  <c r="I257" i="6" s="1"/>
  <c r="F256" i="6" a="1"/>
  <c r="F256" i="6" s="1"/>
  <c r="I256" i="6" s="1"/>
  <c r="F255" i="6" a="1"/>
  <c r="F255" i="6" s="1"/>
  <c r="I255" i="6" s="1"/>
  <c r="F254" i="6" a="1"/>
  <c r="F254" i="6" s="1"/>
  <c r="I254" i="6" s="1"/>
  <c r="F253" i="6" a="1"/>
  <c r="F253" i="6" s="1"/>
  <c r="I253" i="6" s="1"/>
  <c r="F252" i="6" a="1"/>
  <c r="F252" i="6" s="1"/>
  <c r="I252" i="6" s="1"/>
  <c r="F251" i="6" a="1"/>
  <c r="F251" i="6" s="1"/>
  <c r="I251" i="6" s="1"/>
  <c r="F250" i="6" a="1"/>
  <c r="F250" i="6" s="1"/>
  <c r="I250" i="6" s="1"/>
  <c r="F249" i="6" a="1"/>
  <c r="F249" i="6" s="1"/>
  <c r="I249" i="6" s="1"/>
  <c r="F248" i="6" a="1"/>
  <c r="F248" i="6" s="1"/>
  <c r="I248" i="6" s="1"/>
  <c r="F247" i="6" a="1"/>
  <c r="F247" i="6" s="1"/>
  <c r="I247" i="6" s="1"/>
  <c r="F246" i="6" a="1"/>
  <c r="F246" i="6" s="1"/>
  <c r="I246" i="6" s="1"/>
  <c r="F245" i="6" a="1"/>
  <c r="F245" i="6" s="1"/>
  <c r="I245" i="6" s="1"/>
  <c r="F244" i="6" a="1"/>
  <c r="F244" i="6" s="1"/>
  <c r="I244" i="6" s="1"/>
  <c r="F243" i="6" a="1"/>
  <c r="F243" i="6" s="1"/>
  <c r="I243" i="6" s="1"/>
  <c r="F241" i="6" a="1"/>
  <c r="F241" i="6" s="1"/>
  <c r="I241" i="6" s="1"/>
  <c r="F240" i="6" a="1"/>
  <c r="F240" i="6" s="1"/>
  <c r="I240" i="6" s="1"/>
  <c r="F238" i="6" a="1"/>
  <c r="F238" i="6" s="1"/>
  <c r="I238" i="6" s="1"/>
  <c r="F237" i="6" a="1"/>
  <c r="F237" i="6" s="1"/>
  <c r="I237" i="6" s="1"/>
  <c r="F236" i="6" a="1"/>
  <c r="F236" i="6" s="1"/>
  <c r="I236" i="6" s="1"/>
  <c r="F235" i="6" a="1"/>
  <c r="F235" i="6" s="1"/>
  <c r="I235" i="6" s="1"/>
  <c r="F234" i="6" a="1"/>
  <c r="F234" i="6" s="1"/>
  <c r="I234" i="6" s="1"/>
  <c r="F233" i="6" a="1"/>
  <c r="F233" i="6" s="1"/>
  <c r="I233" i="6" s="1"/>
  <c r="F226" i="6" a="1"/>
  <c r="F226" i="6" s="1"/>
  <c r="I226" i="6" s="1"/>
  <c r="F225" i="6" a="1"/>
  <c r="F225" i="6" s="1"/>
  <c r="I225" i="6" s="1"/>
  <c r="F224" i="6" a="1"/>
  <c r="F224" i="6" s="1"/>
  <c r="I224" i="6" s="1"/>
  <c r="F223" i="6" a="1"/>
  <c r="F223" i="6" s="1"/>
  <c r="I223" i="6" s="1"/>
  <c r="F221" i="6" a="1"/>
  <c r="F221" i="6" s="1"/>
  <c r="I221" i="6" s="1"/>
  <c r="F220" i="6" a="1"/>
  <c r="F220" i="6" s="1"/>
  <c r="I220" i="6" s="1"/>
  <c r="F219" i="6" a="1"/>
  <c r="F219" i="6" s="1"/>
  <c r="I219" i="6" s="1"/>
  <c r="F217" i="6" a="1"/>
  <c r="F217" i="6" s="1"/>
  <c r="I217" i="6" s="1"/>
  <c r="F213" i="6" a="1"/>
  <c r="F213" i="6" s="1"/>
  <c r="I213" i="6" s="1"/>
  <c r="F199" i="6" a="1"/>
  <c r="F199" i="6" s="1"/>
  <c r="I199" i="6" s="1"/>
  <c r="F314" i="6" a="1"/>
  <c r="F314" i="6" s="1"/>
  <c r="I314" i="6" s="1"/>
  <c r="F313" i="6" a="1"/>
  <c r="F313" i="6" s="1"/>
  <c r="I313" i="6" s="1"/>
  <c r="F312" i="6" a="1"/>
  <c r="F312" i="6" s="1"/>
  <c r="I312" i="6" s="1"/>
  <c r="F311" i="6" a="1"/>
  <c r="F311" i="6" s="1"/>
  <c r="I311" i="6" s="1"/>
  <c r="F310" i="6" a="1"/>
  <c r="F310" i="6" s="1"/>
  <c r="I310" i="6" s="1"/>
  <c r="F309" i="6" a="1"/>
  <c r="F309" i="6" s="1"/>
  <c r="I309" i="6" s="1"/>
  <c r="F307" i="6" a="1"/>
  <c r="F307" i="6" s="1"/>
  <c r="I307" i="6" s="1"/>
  <c r="F306" i="6" a="1"/>
  <c r="F306" i="6" s="1"/>
  <c r="I306" i="6" s="1"/>
  <c r="F305" i="6" a="1"/>
  <c r="F305" i="6" s="1"/>
  <c r="I305" i="6" s="1"/>
  <c r="F304" i="6" a="1"/>
  <c r="F304" i="6" s="1"/>
  <c r="I304" i="6" s="1"/>
  <c r="F303" i="6" a="1"/>
  <c r="F303" i="6" s="1"/>
  <c r="I303" i="6" s="1"/>
  <c r="F302" i="6" a="1"/>
  <c r="F302" i="6" s="1"/>
  <c r="I302" i="6" s="1"/>
  <c r="F301" i="6" a="1"/>
  <c r="F301" i="6" s="1"/>
  <c r="I301" i="6" s="1"/>
  <c r="F300" i="6" a="1"/>
  <c r="F300" i="6" s="1"/>
  <c r="I300" i="6" s="1"/>
  <c r="F299" i="6" a="1"/>
  <c r="F299" i="6" s="1"/>
  <c r="I299" i="6" s="1"/>
  <c r="F298" i="6" a="1"/>
  <c r="F298" i="6" s="1"/>
  <c r="I298" i="6" s="1"/>
  <c r="F297" i="6" a="1"/>
  <c r="F297" i="6" s="1"/>
  <c r="I297" i="6" s="1"/>
  <c r="F296" i="6" a="1"/>
  <c r="F296" i="6" s="1"/>
  <c r="I296" i="6" s="1"/>
  <c r="F295" i="6" a="1"/>
  <c r="F295" i="6" s="1"/>
  <c r="I295" i="6" s="1"/>
  <c r="F294" i="6" a="1"/>
  <c r="F294" i="6" s="1"/>
  <c r="I294" i="6" s="1"/>
  <c r="F293" i="6" a="1"/>
  <c r="F293" i="6" s="1"/>
  <c r="I293" i="6" s="1"/>
  <c r="F292" i="6" a="1"/>
  <c r="F292" i="6" s="1"/>
  <c r="I292" i="6" s="1"/>
  <c r="F291" i="6" a="1"/>
  <c r="F291" i="6" s="1"/>
  <c r="I291" i="6" s="1"/>
  <c r="F289" i="6" a="1"/>
  <c r="F289" i="6" s="1"/>
  <c r="I289" i="6" s="1"/>
  <c r="F288" i="6" a="1"/>
  <c r="F288" i="6" s="1"/>
  <c r="I288" i="6" s="1"/>
  <c r="F286" i="6" a="1"/>
  <c r="F286" i="6" s="1"/>
  <c r="I286" i="6" s="1"/>
  <c r="F285" i="6" a="1"/>
  <c r="F285" i="6" s="1"/>
  <c r="I285" i="6" s="1"/>
  <c r="F284" i="6" a="1"/>
  <c r="F284" i="6" s="1"/>
  <c r="I284" i="6" s="1"/>
  <c r="F283" i="6" a="1"/>
  <c r="F283" i="6" s="1"/>
  <c r="I283" i="6" s="1"/>
  <c r="F282" i="6" a="1"/>
  <c r="F282" i="6" s="1"/>
  <c r="I282" i="6" s="1"/>
  <c r="F281" i="6" a="1"/>
  <c r="F281" i="6" s="1"/>
  <c r="I281" i="6" s="1"/>
  <c r="F280" i="6" a="1"/>
  <c r="F280" i="6" s="1"/>
  <c r="I280" i="6" s="1"/>
  <c r="F279" i="6" a="1"/>
  <c r="F279" i="6" s="1"/>
  <c r="I279" i="6" s="1"/>
  <c r="F278" i="6" a="1"/>
  <c r="F278" i="6" s="1"/>
  <c r="I278" i="6" s="1"/>
  <c r="F276" i="6" a="1"/>
  <c r="F276" i="6" s="1"/>
  <c r="I276" i="6" s="1"/>
  <c r="F274" i="6" a="1"/>
  <c r="F274" i="6" s="1"/>
  <c r="I274" i="6" s="1"/>
  <c r="F273" i="6" a="1"/>
  <c r="F273" i="6" s="1"/>
  <c r="I273" i="6" s="1"/>
  <c r="F272" i="6" a="1"/>
  <c r="F272" i="6" s="1"/>
  <c r="I272" i="6" s="1"/>
  <c r="F271" i="6" a="1"/>
  <c r="F271" i="6" s="1"/>
  <c r="I271" i="6" s="1"/>
  <c r="F270" i="6" a="1"/>
  <c r="F270" i="6" s="1"/>
  <c r="I270" i="6" s="1"/>
  <c r="F269" i="6" a="1"/>
  <c r="F269" i="6" s="1"/>
  <c r="I269" i="6" s="1"/>
  <c r="F268" i="6" a="1"/>
  <c r="F268" i="6" s="1"/>
  <c r="I268" i="6" s="1"/>
  <c r="F267" i="6" a="1"/>
  <c r="F267" i="6" s="1"/>
  <c r="I267" i="6" s="1"/>
  <c r="F266" i="6" a="1"/>
  <c r="F266" i="6" s="1"/>
  <c r="I266" i="6" s="1"/>
  <c r="F265" i="6" a="1"/>
  <c r="F265" i="6" s="1"/>
  <c r="I265" i="6" s="1"/>
  <c r="F264" i="6" a="1"/>
  <c r="F264" i="6" s="1"/>
  <c r="I264" i="6" s="1"/>
  <c r="F263" i="6" a="1"/>
  <c r="F263" i="6" s="1"/>
  <c r="I263" i="6" s="1"/>
  <c r="F262" i="6" a="1"/>
  <c r="F262" i="6" s="1"/>
  <c r="I262" i="6" s="1"/>
  <c r="F261" i="6" a="1"/>
  <c r="F261" i="6" s="1"/>
  <c r="I261" i="6" s="1"/>
  <c r="F260" i="6" a="1"/>
  <c r="F260" i="6" s="1"/>
  <c r="I260" i="6" s="1"/>
  <c r="F369" i="6" a="1"/>
  <c r="F369" i="6" s="1"/>
  <c r="I369" i="6" s="1"/>
  <c r="F368" i="6" a="1"/>
  <c r="F368" i="6" s="1"/>
  <c r="I368" i="6" s="1"/>
  <c r="F364" i="6" a="1"/>
  <c r="F364" i="6" s="1"/>
  <c r="I364" i="6" s="1"/>
  <c r="F363" i="6" a="1"/>
  <c r="F363" i="6" s="1"/>
  <c r="I363" i="6" s="1"/>
  <c r="F362" i="6" a="1"/>
  <c r="F362" i="6" s="1"/>
  <c r="I362" i="6" s="1"/>
  <c r="F361" i="6" a="1"/>
  <c r="F361" i="6" s="1"/>
  <c r="I361" i="6" s="1"/>
  <c r="F360" i="6" a="1"/>
  <c r="F360" i="6" s="1"/>
  <c r="I360" i="6" s="1"/>
  <c r="F359" i="6" a="1"/>
  <c r="F359" i="6" s="1"/>
  <c r="I359" i="6" s="1"/>
  <c r="F358" i="6" a="1"/>
  <c r="F358" i="6" s="1"/>
  <c r="I358" i="6" s="1"/>
  <c r="F357" i="6" a="1"/>
  <c r="F357" i="6" s="1"/>
  <c r="I357" i="6" s="1"/>
  <c r="F356" i="6" a="1"/>
  <c r="F356" i="6" s="1"/>
  <c r="I356" i="6" s="1"/>
  <c r="F355" i="6" a="1"/>
  <c r="F355" i="6" s="1"/>
  <c r="I355" i="6" s="1"/>
  <c r="F354" i="6" a="1"/>
  <c r="F354" i="6" s="1"/>
  <c r="I354" i="6" s="1"/>
  <c r="F353" i="6" a="1"/>
  <c r="F353" i="6" s="1"/>
  <c r="I353" i="6" s="1"/>
  <c r="F352" i="6" a="1"/>
  <c r="F352" i="6" s="1"/>
  <c r="I352" i="6" s="1"/>
  <c r="F351" i="6" a="1"/>
  <c r="F351" i="6" s="1"/>
  <c r="I351" i="6" s="1"/>
  <c r="F350" i="6" a="1"/>
  <c r="F350" i="6" s="1"/>
  <c r="I350" i="6" s="1"/>
  <c r="F349" i="6" a="1"/>
  <c r="F349" i="6" s="1"/>
  <c r="I349" i="6" s="1"/>
  <c r="F347" i="6" a="1"/>
  <c r="F347" i="6" s="1"/>
  <c r="I347" i="6" s="1"/>
  <c r="F346" i="6" a="1"/>
  <c r="F346" i="6" s="1"/>
  <c r="I346" i="6" s="1"/>
  <c r="F345" i="6" a="1"/>
  <c r="F345" i="6" s="1"/>
  <c r="I345" i="6" s="1"/>
  <c r="F344" i="6" a="1"/>
  <c r="F344" i="6" s="1"/>
  <c r="I344" i="6" s="1"/>
  <c r="F343" i="6" a="1"/>
  <c r="F343" i="6" s="1"/>
  <c r="I343" i="6" s="1"/>
  <c r="F342" i="6" a="1"/>
  <c r="F342" i="6" s="1"/>
  <c r="I342" i="6" s="1"/>
  <c r="F341" i="6" a="1"/>
  <c r="F341" i="6" s="1"/>
  <c r="I341" i="6" s="1"/>
  <c r="F338" i="6" a="1"/>
  <c r="F338" i="6" s="1"/>
  <c r="I338" i="6" s="1"/>
  <c r="F337" i="6" a="1"/>
  <c r="F337" i="6" s="1"/>
  <c r="I337" i="6" s="1"/>
  <c r="F336" i="6" a="1"/>
  <c r="F336" i="6" s="1"/>
  <c r="I336" i="6" s="1"/>
  <c r="F335" i="6" a="1"/>
  <c r="F335" i="6" s="1"/>
  <c r="I335" i="6" s="1"/>
  <c r="F334" i="6" a="1"/>
  <c r="F334" i="6" s="1"/>
  <c r="I334" i="6" s="1"/>
  <c r="F333" i="6" a="1"/>
  <c r="F333" i="6" s="1"/>
  <c r="I333" i="6" s="1"/>
  <c r="F332" i="6" a="1"/>
  <c r="F332" i="6" s="1"/>
  <c r="I332" i="6" s="1"/>
  <c r="F331" i="6" a="1"/>
  <c r="F331" i="6" s="1"/>
  <c r="I331" i="6" s="1"/>
  <c r="F330" i="6" a="1"/>
  <c r="F330" i="6" s="1"/>
  <c r="I330" i="6" s="1"/>
  <c r="F329" i="6" a="1"/>
  <c r="F329" i="6" s="1"/>
  <c r="I329" i="6" s="1"/>
  <c r="F328" i="6" a="1"/>
  <c r="F328" i="6" s="1"/>
  <c r="I328" i="6" s="1"/>
  <c r="F327" i="6" a="1"/>
  <c r="F327" i="6" s="1"/>
  <c r="I327" i="6" s="1"/>
  <c r="F326" i="6" a="1"/>
  <c r="F326" i="6" s="1"/>
  <c r="I326" i="6" s="1"/>
  <c r="F325" i="6" a="1"/>
  <c r="F325" i="6" s="1"/>
  <c r="I325" i="6" s="1"/>
  <c r="F324" i="6" a="1"/>
  <c r="F324" i="6" s="1"/>
  <c r="I324" i="6" s="1"/>
  <c r="F323" i="6" a="1"/>
  <c r="F323" i="6" s="1"/>
  <c r="I323" i="6" s="1"/>
  <c r="F322" i="6" a="1"/>
  <c r="F322" i="6" s="1"/>
  <c r="I322" i="6" s="1"/>
  <c r="F321" i="6" a="1"/>
  <c r="F321" i="6" s="1"/>
  <c r="I321" i="6" s="1"/>
  <c r="F320" i="6" a="1"/>
  <c r="F320" i="6" s="1"/>
  <c r="I320" i="6" s="1"/>
  <c r="F319" i="6" a="1"/>
  <c r="F319" i="6" s="1"/>
  <c r="I319" i="6" s="1"/>
  <c r="F318" i="6" a="1"/>
  <c r="F318" i="6" s="1"/>
  <c r="I318" i="6" s="1"/>
  <c r="F317" i="6" a="1"/>
  <c r="F317" i="6" s="1"/>
  <c r="I317" i="6" s="1"/>
  <c r="F316" i="6" a="1"/>
  <c r="F316" i="6" s="1"/>
  <c r="I316" i="6" s="1"/>
  <c r="F315" i="6" a="1"/>
  <c r="F315" i="6" s="1"/>
  <c r="I315" i="6" s="1"/>
  <c r="F372" i="6" a="1"/>
  <c r="F372" i="6" s="1"/>
  <c r="I372" i="6" s="1"/>
  <c r="F370" i="6" a="1"/>
  <c r="F370" i="6" s="1"/>
  <c r="I370" i="6" s="1"/>
  <c r="F411" i="6" a="1"/>
  <c r="F411" i="6" s="1"/>
  <c r="I411" i="6" s="1"/>
  <c r="F410" i="6" a="1"/>
  <c r="F410" i="6" s="1"/>
  <c r="I410" i="6" s="1"/>
  <c r="F409" i="6" a="1"/>
  <c r="F409" i="6" s="1"/>
  <c r="I409" i="6" s="1"/>
  <c r="F408" i="6" a="1"/>
  <c r="F408" i="6" s="1"/>
  <c r="I408" i="6" s="1"/>
  <c r="F407" i="6" a="1"/>
  <c r="F407" i="6" s="1"/>
  <c r="I407" i="6" s="1"/>
  <c r="F406" i="6" a="1"/>
  <c r="F406" i="6" s="1"/>
  <c r="I406" i="6" s="1"/>
  <c r="F405" i="6" a="1"/>
  <c r="F405" i="6" s="1"/>
  <c r="I405" i="6" s="1"/>
  <c r="F404" i="6" a="1"/>
  <c r="F404" i="6" s="1"/>
  <c r="I404" i="6" s="1"/>
  <c r="F403" i="6" a="1"/>
  <c r="F403" i="6" s="1"/>
  <c r="I403" i="6" s="1"/>
  <c r="F402" i="6" a="1"/>
  <c r="F402" i="6" s="1"/>
  <c r="I402" i="6" s="1"/>
  <c r="F401" i="6" a="1"/>
  <c r="F401" i="6" s="1"/>
  <c r="I401" i="6" s="1"/>
  <c r="F400" i="6" a="1"/>
  <c r="F400" i="6" s="1"/>
  <c r="I400" i="6" s="1"/>
  <c r="F399" i="6" a="1"/>
  <c r="F399" i="6" s="1"/>
  <c r="I399" i="6" s="1"/>
  <c r="F398" i="6" a="1"/>
  <c r="F398" i="6" s="1"/>
  <c r="I398" i="6" s="1"/>
  <c r="F397" i="6" a="1"/>
  <c r="F397" i="6" s="1"/>
  <c r="I397" i="6" s="1"/>
  <c r="F396" i="6" a="1"/>
  <c r="F396" i="6" s="1"/>
  <c r="I396" i="6" s="1"/>
  <c r="F395" i="6" a="1"/>
  <c r="F395" i="6" s="1"/>
  <c r="I395" i="6" s="1"/>
  <c r="F394" i="6" a="1"/>
  <c r="F394" i="6" s="1"/>
  <c r="I394" i="6" s="1"/>
  <c r="F393" i="6" a="1"/>
  <c r="F393" i="6" s="1"/>
  <c r="I393" i="6" s="1"/>
  <c r="F392" i="6" a="1"/>
  <c r="F392" i="6" s="1"/>
  <c r="I392" i="6" s="1"/>
  <c r="F391" i="6" a="1"/>
  <c r="F391" i="6" s="1"/>
  <c r="I391" i="6" s="1"/>
  <c r="F390" i="6" a="1"/>
  <c r="F390" i="6" s="1"/>
  <c r="I390" i="6" s="1"/>
  <c r="F389" i="6" a="1"/>
  <c r="F389" i="6" s="1"/>
  <c r="I389" i="6" s="1"/>
  <c r="F388" i="6" a="1"/>
  <c r="F388" i="6" s="1"/>
  <c r="I388" i="6" s="1"/>
  <c r="F386" i="6" a="1"/>
  <c r="F386" i="6" s="1"/>
  <c r="I386" i="6" s="1"/>
  <c r="F385" i="6" a="1"/>
  <c r="F385" i="6" s="1"/>
  <c r="I385" i="6" s="1"/>
  <c r="F381" i="6" a="1"/>
  <c r="F381" i="6" s="1"/>
  <c r="I381" i="6" s="1"/>
  <c r="F379" i="6" a="1"/>
  <c r="F379" i="6" s="1"/>
  <c r="I379" i="6" s="1"/>
  <c r="F378" i="6" a="1"/>
  <c r="F378" i="6" s="1"/>
  <c r="I378" i="6" s="1"/>
  <c r="F377" i="6" a="1"/>
  <c r="F377" i="6" s="1"/>
  <c r="I377" i="6" s="1"/>
  <c r="F376" i="6" a="1"/>
  <c r="F376" i="6" s="1"/>
  <c r="I376" i="6" s="1"/>
  <c r="F375" i="6" a="1"/>
  <c r="F375" i="6" s="1"/>
  <c r="I375" i="6" s="1"/>
  <c r="F374" i="6" a="1"/>
  <c r="F374" i="6" s="1"/>
  <c r="I374" i="6" s="1"/>
  <c r="F373" i="6" a="1"/>
  <c r="F373" i="6" s="1"/>
  <c r="I373" i="6" s="1"/>
  <c r="F371" i="6" a="1"/>
  <c r="F371" i="6" s="1"/>
  <c r="I371" i="6" s="1"/>
  <c r="F367" i="6" a="1"/>
  <c r="F367" i="6" s="1"/>
  <c r="I367" i="6" s="1"/>
  <c r="F366" i="6" a="1"/>
  <c r="F366" i="6" s="1"/>
  <c r="I366" i="6" s="1"/>
  <c r="F308" i="6" a="1"/>
  <c r="F308" i="6" s="1"/>
  <c r="I308" i="6" s="1"/>
  <c r="F277" i="6" a="1"/>
  <c r="F277" i="6" s="1"/>
  <c r="I277" i="6" s="1"/>
  <c r="F460" i="6" a="1"/>
  <c r="F460" i="6" s="1"/>
  <c r="I460" i="6" s="1"/>
  <c r="F459" i="6" a="1"/>
  <c r="F459" i="6" s="1"/>
  <c r="I459" i="6" s="1"/>
  <c r="F458" i="6" a="1"/>
  <c r="F458" i="6" s="1"/>
  <c r="I458" i="6" s="1"/>
  <c r="F457" i="6" a="1"/>
  <c r="F457" i="6" s="1"/>
  <c r="I457" i="6" s="1"/>
  <c r="F456" i="6" a="1"/>
  <c r="F456" i="6" s="1"/>
  <c r="I456" i="6" s="1"/>
  <c r="F455" i="6" a="1"/>
  <c r="F455" i="6" s="1"/>
  <c r="I455" i="6" s="1"/>
  <c r="F454" i="6" a="1"/>
  <c r="F454" i="6" s="1"/>
  <c r="I454" i="6" s="1"/>
  <c r="F453" i="6" a="1"/>
  <c r="F453" i="6" s="1"/>
  <c r="I453" i="6" s="1"/>
  <c r="F452" i="6" a="1"/>
  <c r="F452" i="6" s="1"/>
  <c r="I452" i="6" s="1"/>
  <c r="F451" i="6" a="1"/>
  <c r="F451" i="6" s="1"/>
  <c r="I451" i="6" s="1"/>
  <c r="F450" i="6" a="1"/>
  <c r="F450" i="6" s="1"/>
  <c r="I450" i="6" s="1"/>
  <c r="F449" i="6" a="1"/>
  <c r="F449" i="6" s="1"/>
  <c r="I449" i="6" s="1"/>
  <c r="F448" i="6" a="1"/>
  <c r="F448" i="6" s="1"/>
  <c r="I448" i="6" s="1"/>
  <c r="F447" i="6" a="1"/>
  <c r="F447" i="6" s="1"/>
  <c r="I447" i="6" s="1"/>
  <c r="F446" i="6" a="1"/>
  <c r="F446" i="6" s="1"/>
  <c r="I446" i="6" s="1"/>
  <c r="F445" i="6" a="1"/>
  <c r="F445" i="6" s="1"/>
  <c r="I445" i="6" s="1"/>
  <c r="F444" i="6" a="1"/>
  <c r="F444" i="6" s="1"/>
  <c r="I444" i="6" s="1"/>
  <c r="F442" i="6" a="1"/>
  <c r="F442" i="6" s="1"/>
  <c r="I442" i="6" s="1"/>
  <c r="F441" i="6" a="1"/>
  <c r="F441" i="6" s="1"/>
  <c r="I441" i="6" s="1"/>
  <c r="F440" i="6" a="1"/>
  <c r="F440" i="6" s="1"/>
  <c r="I440" i="6" s="1"/>
  <c r="F439" i="6" a="1"/>
  <c r="F439" i="6" s="1"/>
  <c r="I439" i="6" s="1"/>
  <c r="F438" i="6" a="1"/>
  <c r="F438" i="6" s="1"/>
  <c r="I438" i="6" s="1"/>
  <c r="F443" i="6" a="1"/>
  <c r="F443" i="6" s="1"/>
  <c r="I443" i="6" s="1"/>
  <c r="F437" i="6" a="1"/>
  <c r="F437" i="6" s="1"/>
  <c r="I437" i="6" s="1"/>
  <c r="F436" i="6" a="1"/>
  <c r="F436" i="6" s="1"/>
  <c r="I436" i="6" s="1"/>
  <c r="F435" i="6" a="1"/>
  <c r="F435" i="6" s="1"/>
  <c r="I435" i="6" s="1"/>
  <c r="F434" i="6" a="1"/>
  <c r="F434" i="6" s="1"/>
  <c r="I434" i="6" s="1"/>
  <c r="F433" i="6" a="1"/>
  <c r="F433" i="6" s="1"/>
  <c r="I433" i="6" s="1"/>
  <c r="F432" i="6" a="1"/>
  <c r="F432" i="6" s="1"/>
  <c r="I432" i="6" s="1"/>
  <c r="F431" i="6" a="1"/>
  <c r="F431" i="6" s="1"/>
  <c r="I431" i="6" s="1"/>
  <c r="F430" i="6" a="1"/>
  <c r="F430" i="6" s="1"/>
  <c r="I430" i="6" s="1"/>
  <c r="F429" i="6" a="1"/>
  <c r="F429" i="6" s="1"/>
  <c r="I429" i="6" s="1"/>
  <c r="F428" i="6" a="1"/>
  <c r="F428" i="6" s="1"/>
  <c r="I428" i="6" s="1"/>
  <c r="F427" i="6" a="1"/>
  <c r="F427" i="6" s="1"/>
  <c r="I427" i="6" s="1"/>
  <c r="F426" i="6" a="1"/>
  <c r="F426" i="6" s="1"/>
  <c r="I426" i="6" s="1"/>
  <c r="F425" i="6" a="1"/>
  <c r="F425" i="6" s="1"/>
  <c r="I425" i="6" s="1"/>
  <c r="F424" i="6" a="1"/>
  <c r="F424" i="6" s="1"/>
  <c r="I424" i="6" s="1"/>
  <c r="F423" i="6" a="1"/>
  <c r="F423" i="6" s="1"/>
  <c r="I423" i="6" s="1"/>
  <c r="F422" i="6" a="1"/>
  <c r="F422" i="6" s="1"/>
  <c r="I422" i="6" s="1"/>
  <c r="F421" i="6" a="1"/>
  <c r="F421" i="6" s="1"/>
  <c r="I421" i="6" s="1"/>
  <c r="F420" i="6" a="1"/>
  <c r="F420" i="6" s="1"/>
  <c r="I420" i="6" s="1"/>
  <c r="F419" i="6" a="1"/>
  <c r="F419" i="6" s="1"/>
  <c r="I419" i="6" s="1"/>
  <c r="F418" i="6" a="1"/>
  <c r="F418" i="6" s="1"/>
  <c r="I418" i="6" s="1"/>
  <c r="F417" i="6" a="1"/>
  <c r="F417" i="6" s="1"/>
  <c r="I417" i="6" s="1"/>
  <c r="F416" i="6" a="1"/>
  <c r="F416" i="6" s="1"/>
  <c r="I416" i="6" s="1"/>
  <c r="F415" i="6" a="1"/>
  <c r="F415" i="6" s="1"/>
  <c r="I415" i="6" s="1"/>
  <c r="F414" i="6" a="1"/>
  <c r="F414" i="6" s="1"/>
  <c r="I414" i="6" s="1"/>
  <c r="F413" i="6" a="1"/>
  <c r="F413" i="6" s="1"/>
  <c r="I413" i="6" s="1"/>
  <c r="F412" i="6" a="1"/>
  <c r="F412" i="6" s="1"/>
  <c r="I412" i="6" s="1"/>
  <c r="F524" i="6" a="1"/>
  <c r="F524" i="6" s="1"/>
  <c r="I524" i="6" s="1"/>
  <c r="F523" i="6" a="1"/>
  <c r="F523" i="6" s="1"/>
  <c r="I523" i="6" s="1"/>
  <c r="F522" i="6" a="1"/>
  <c r="F522" i="6" s="1"/>
  <c r="I522" i="6" s="1"/>
  <c r="F521" i="6" a="1"/>
  <c r="F521" i="6" s="1"/>
  <c r="I521" i="6" s="1"/>
  <c r="F519" i="6" a="1"/>
  <c r="F519" i="6" s="1"/>
  <c r="I519" i="6" s="1"/>
  <c r="F516" i="6" a="1"/>
  <c r="F516" i="6" s="1"/>
  <c r="I516" i="6" s="1"/>
  <c r="F515" i="6" a="1"/>
  <c r="F515" i="6" s="1"/>
  <c r="I515" i="6" s="1"/>
  <c r="F514" i="6" a="1"/>
  <c r="F514" i="6" s="1"/>
  <c r="I514" i="6" s="1"/>
  <c r="F513" i="6" a="1"/>
  <c r="F513" i="6" s="1"/>
  <c r="I513" i="6" s="1"/>
  <c r="F512" i="6" a="1"/>
  <c r="F512" i="6" s="1"/>
  <c r="I512" i="6" s="1"/>
  <c r="F511" i="6" a="1"/>
  <c r="F511" i="6" s="1"/>
  <c r="I511" i="6" s="1"/>
  <c r="F510" i="6" a="1"/>
  <c r="F510" i="6" s="1"/>
  <c r="I510" i="6" s="1"/>
  <c r="F509" i="6" a="1"/>
  <c r="F509" i="6" s="1"/>
  <c r="I509" i="6" s="1"/>
  <c r="F507" i="6" a="1"/>
  <c r="F507" i="6" s="1"/>
  <c r="I507" i="6" s="1"/>
  <c r="F506" i="6" a="1"/>
  <c r="F506" i="6" s="1"/>
  <c r="I506" i="6" s="1"/>
  <c r="F499" i="6" a="1"/>
  <c r="F499" i="6" s="1"/>
  <c r="I499" i="6" s="1"/>
  <c r="F498" i="6" a="1"/>
  <c r="F498" i="6" s="1"/>
  <c r="I498" i="6" s="1"/>
  <c r="F497" i="6" a="1"/>
  <c r="F497" i="6" s="1"/>
  <c r="I497" i="6" s="1"/>
  <c r="F496" i="6" a="1"/>
  <c r="F496" i="6" s="1"/>
  <c r="I496" i="6" s="1"/>
  <c r="F495" i="6" a="1"/>
  <c r="F495" i="6" s="1"/>
  <c r="I495" i="6" s="1"/>
  <c r="F494" i="6" a="1"/>
  <c r="F494" i="6" s="1"/>
  <c r="I494" i="6" s="1"/>
  <c r="F493" i="6" a="1"/>
  <c r="F493" i="6" s="1"/>
  <c r="I493" i="6" s="1"/>
  <c r="F489" i="6" a="1"/>
  <c r="F489" i="6" s="1"/>
  <c r="I489" i="6" s="1"/>
  <c r="F488" i="6" a="1"/>
  <c r="F488" i="6" s="1"/>
  <c r="I488" i="6" s="1"/>
  <c r="F487" i="6" a="1"/>
  <c r="F487" i="6" s="1"/>
  <c r="I487" i="6" s="1"/>
  <c r="F486" i="6" a="1"/>
  <c r="F486" i="6" s="1"/>
  <c r="I486" i="6" s="1"/>
  <c r="F485" i="6" a="1"/>
  <c r="F485" i="6" s="1"/>
  <c r="I485" i="6" s="1"/>
  <c r="F484" i="6" a="1"/>
  <c r="F484" i="6" s="1"/>
  <c r="I484" i="6" s="1"/>
  <c r="F483" i="6" a="1"/>
  <c r="F483" i="6" s="1"/>
  <c r="I483" i="6" s="1"/>
  <c r="F482" i="6" a="1"/>
  <c r="F482" i="6" s="1"/>
  <c r="I482" i="6" s="1"/>
  <c r="F481" i="6" a="1"/>
  <c r="F481" i="6" s="1"/>
  <c r="I481" i="6" s="1"/>
  <c r="F480" i="6" a="1"/>
  <c r="F480" i="6" s="1"/>
  <c r="I480" i="6" s="1"/>
  <c r="F479" i="6" a="1"/>
  <c r="F479" i="6" s="1"/>
  <c r="I479" i="6" s="1"/>
  <c r="F478" i="6" a="1"/>
  <c r="F478" i="6" s="1"/>
  <c r="I478" i="6" s="1"/>
  <c r="F477" i="6" a="1"/>
  <c r="F477" i="6" s="1"/>
  <c r="I477" i="6" s="1"/>
  <c r="F476" i="6" a="1"/>
  <c r="F476" i="6" s="1"/>
  <c r="I476" i="6" s="1"/>
  <c r="F475" i="6" a="1"/>
  <c r="F475" i="6" s="1"/>
  <c r="I475" i="6" s="1"/>
  <c r="F474" i="6" a="1"/>
  <c r="F474" i="6" s="1"/>
  <c r="I474" i="6" s="1"/>
  <c r="F473" i="6" a="1"/>
  <c r="F473" i="6" s="1"/>
  <c r="I473" i="6" s="1"/>
  <c r="F472" i="6" a="1"/>
  <c r="F472" i="6" s="1"/>
  <c r="I472" i="6" s="1"/>
  <c r="F471" i="6" a="1"/>
  <c r="F471" i="6" s="1"/>
  <c r="I471" i="6" s="1"/>
  <c r="F470" i="6" a="1"/>
  <c r="F470" i="6" s="1"/>
  <c r="I470" i="6" s="1"/>
  <c r="F468" i="6" a="1"/>
  <c r="F468" i="6" s="1"/>
  <c r="I468" i="6" s="1"/>
  <c r="F467" i="6" a="1"/>
  <c r="F467" i="6" s="1"/>
  <c r="I467" i="6" s="1"/>
  <c r="F466" i="6" a="1"/>
  <c r="F466" i="6" s="1"/>
  <c r="I466" i="6" s="1"/>
  <c r="F465" i="6" a="1"/>
  <c r="F465" i="6" s="1"/>
  <c r="I465" i="6" s="1"/>
  <c r="F464" i="6" a="1"/>
  <c r="F464" i="6" s="1"/>
  <c r="I464" i="6" s="1"/>
  <c r="F463" i="6" a="1"/>
  <c r="F463" i="6" s="1"/>
  <c r="I463" i="6" s="1"/>
  <c r="F462" i="6" a="1"/>
  <c r="F462" i="6" s="1"/>
  <c r="I462" i="6" s="1"/>
  <c r="F461" i="6" a="1"/>
  <c r="F461" i="6" s="1"/>
  <c r="I461" i="6" s="1"/>
  <c r="F854" i="6" a="1"/>
  <c r="F854" i="6" s="1"/>
  <c r="I854" i="6" s="1"/>
  <c r="F575" i="6" a="1"/>
  <c r="F575" i="6" s="1"/>
  <c r="I575" i="6" s="1"/>
  <c r="F565" i="6" a="1"/>
  <c r="F565" i="6" s="1"/>
  <c r="I565" i="6" s="1"/>
  <c r="F564" i="6" a="1"/>
  <c r="F564" i="6" s="1"/>
  <c r="I564" i="6" s="1"/>
  <c r="F563" i="6" a="1"/>
  <c r="F563" i="6" s="1"/>
  <c r="I563" i="6" s="1"/>
  <c r="F562" i="6" a="1"/>
  <c r="F562" i="6" s="1"/>
  <c r="I562" i="6" s="1"/>
  <c r="F561" i="6" a="1"/>
  <c r="F561" i="6" s="1"/>
  <c r="I561" i="6" s="1"/>
  <c r="F557" i="6" a="1"/>
  <c r="F557" i="6" s="1"/>
  <c r="I557" i="6" s="1"/>
  <c r="F556" i="6" a="1"/>
  <c r="F556" i="6" s="1"/>
  <c r="I556" i="6" s="1"/>
  <c r="F555" i="6" a="1"/>
  <c r="F555" i="6" s="1"/>
  <c r="I555" i="6" s="1"/>
  <c r="F550" i="6" a="1"/>
  <c r="F550" i="6" s="1"/>
  <c r="I550" i="6" s="1"/>
  <c r="F549" i="6" a="1"/>
  <c r="F549" i="6" s="1"/>
  <c r="I549" i="6" s="1"/>
  <c r="F548" i="6" a="1"/>
  <c r="F548" i="6" s="1"/>
  <c r="I548" i="6" s="1"/>
  <c r="F547" i="6" a="1"/>
  <c r="F547" i="6" s="1"/>
  <c r="I547" i="6" s="1"/>
  <c r="F546" i="6" a="1"/>
  <c r="F546" i="6" s="1"/>
  <c r="I546" i="6" s="1"/>
  <c r="F545" i="6" a="1"/>
  <c r="F545" i="6" s="1"/>
  <c r="I545" i="6" s="1"/>
  <c r="F544" i="6" a="1"/>
  <c r="F544" i="6" s="1"/>
  <c r="I544" i="6" s="1"/>
  <c r="F543" i="6" a="1"/>
  <c r="F543" i="6" s="1"/>
  <c r="I543" i="6" s="1"/>
  <c r="F540" i="6" a="1"/>
  <c r="F540" i="6" s="1"/>
  <c r="I540" i="6" s="1"/>
  <c r="F539" i="6" a="1"/>
  <c r="F539" i="6" s="1"/>
  <c r="I539" i="6" s="1"/>
  <c r="F528" i="6" a="1"/>
  <c r="F528" i="6" s="1"/>
  <c r="I528" i="6" s="1"/>
  <c r="F527" i="6" a="1"/>
  <c r="F527" i="6" s="1"/>
  <c r="I527" i="6" s="1"/>
  <c r="F526" i="6" a="1"/>
  <c r="F526" i="6" s="1"/>
  <c r="I526" i="6" s="1"/>
  <c r="F525" i="6" a="1"/>
  <c r="F525" i="6" s="1"/>
  <c r="I525" i="6" s="1"/>
  <c r="F580" i="6" a="1"/>
  <c r="F580" i="6" s="1"/>
  <c r="I580" i="6" s="1"/>
  <c r="F579" i="6" a="1"/>
  <c r="F579" i="6" s="1"/>
  <c r="I579" i="6" s="1"/>
  <c r="F578" i="6" a="1"/>
  <c r="F578" i="6" s="1"/>
  <c r="I578" i="6" s="1"/>
  <c r="F577" i="6" a="1"/>
  <c r="F577" i="6" s="1"/>
  <c r="I577" i="6" s="1"/>
  <c r="F576" i="6" a="1"/>
  <c r="F576" i="6" s="1"/>
  <c r="I576" i="6" s="1"/>
  <c r="F574" i="6" a="1"/>
  <c r="F574" i="6" s="1"/>
  <c r="I574" i="6" s="1"/>
  <c r="F573" i="6" a="1"/>
  <c r="F573" i="6" s="1"/>
  <c r="I573" i="6" s="1"/>
  <c r="F572" i="6" a="1"/>
  <c r="F572" i="6" s="1"/>
  <c r="I572" i="6" s="1"/>
  <c r="F571" i="6" a="1"/>
  <c r="F571" i="6" s="1"/>
  <c r="I571" i="6" s="1"/>
  <c r="F570" i="6" a="1"/>
  <c r="F570" i="6" s="1"/>
  <c r="I570" i="6" s="1"/>
  <c r="F569" i="6" a="1"/>
  <c r="F569" i="6" s="1"/>
  <c r="I569" i="6" s="1"/>
  <c r="F568" i="6" a="1"/>
  <c r="F568" i="6" s="1"/>
  <c r="I568" i="6" s="1"/>
  <c r="F567" i="6" a="1"/>
  <c r="F567" i="6" s="1"/>
  <c r="I567" i="6" s="1"/>
  <c r="F566" i="6" a="1"/>
  <c r="F566" i="6" s="1"/>
  <c r="I566" i="6" s="1"/>
  <c r="F560" i="6" a="1"/>
  <c r="F560" i="6" s="1"/>
  <c r="I560" i="6" s="1"/>
  <c r="F559" i="6" a="1"/>
  <c r="F559" i="6" s="1"/>
  <c r="I559" i="6" s="1"/>
  <c r="F558" i="6" a="1"/>
  <c r="F558" i="6" s="1"/>
  <c r="I558" i="6" s="1"/>
  <c r="F553" i="6" a="1"/>
  <c r="F553" i="6" s="1"/>
  <c r="I553" i="6" s="1"/>
  <c r="F552" i="6" a="1"/>
  <c r="F552" i="6" s="1"/>
  <c r="I552" i="6" s="1"/>
  <c r="F551" i="6" a="1"/>
  <c r="F551" i="6" s="1"/>
  <c r="I551" i="6" s="1"/>
  <c r="F542" i="6" a="1"/>
  <c r="F542" i="6" s="1"/>
  <c r="I542" i="6" s="1"/>
  <c r="F541" i="6" a="1"/>
  <c r="F541" i="6" s="1"/>
  <c r="I541" i="6" s="1"/>
  <c r="F538" i="6" a="1"/>
  <c r="F538" i="6" s="1"/>
  <c r="I538" i="6" s="1"/>
  <c r="F537" i="6" a="1"/>
  <c r="F537" i="6" s="1"/>
  <c r="I537" i="6" s="1"/>
  <c r="F536" i="6" a="1"/>
  <c r="F536" i="6" s="1"/>
  <c r="I536" i="6" s="1"/>
  <c r="F535" i="6" a="1"/>
  <c r="F535" i="6" s="1"/>
  <c r="I535" i="6" s="1"/>
  <c r="F534" i="6" a="1"/>
  <c r="F534" i="6" s="1"/>
  <c r="I534" i="6" s="1"/>
  <c r="F533" i="6" a="1"/>
  <c r="F533" i="6" s="1"/>
  <c r="I533" i="6" s="1"/>
  <c r="F532" i="6" a="1"/>
  <c r="F532" i="6" s="1"/>
  <c r="I532" i="6" s="1"/>
  <c r="F530" i="6" a="1"/>
  <c r="F530" i="6" s="1"/>
  <c r="I530" i="6" s="1"/>
  <c r="F529" i="6" a="1"/>
  <c r="F529" i="6" s="1"/>
  <c r="I529" i="6" s="1"/>
  <c r="F520" i="6" a="1"/>
  <c r="F520" i="6" s="1"/>
  <c r="I520" i="6" s="1"/>
  <c r="F518" i="6" a="1"/>
  <c r="F518" i="6" s="1"/>
  <c r="I518" i="6" s="1"/>
  <c r="F517" i="6" a="1"/>
  <c r="F517" i="6" s="1"/>
  <c r="I517" i="6" s="1"/>
  <c r="F505" i="6" a="1"/>
  <c r="F505" i="6" s="1"/>
  <c r="I505" i="6" s="1"/>
  <c r="F504" i="6" a="1"/>
  <c r="F504" i="6" s="1"/>
  <c r="I504" i="6" s="1"/>
  <c r="F503" i="6" a="1"/>
  <c r="F503" i="6" s="1"/>
  <c r="I503" i="6" s="1"/>
  <c r="F502" i="6" a="1"/>
  <c r="F502" i="6" s="1"/>
  <c r="I502" i="6" s="1"/>
  <c r="F501" i="6" a="1"/>
  <c r="F501" i="6" s="1"/>
  <c r="I501" i="6" s="1"/>
  <c r="F492" i="6" a="1"/>
  <c r="F492" i="6" s="1"/>
  <c r="I492" i="6" s="1"/>
  <c r="F491" i="6" a="1"/>
  <c r="F491" i="6" s="1"/>
  <c r="I491" i="6" s="1"/>
  <c r="F490" i="6" a="1"/>
  <c r="F490" i="6" s="1"/>
  <c r="I490" i="6" s="1"/>
  <c r="F384" i="6" a="1"/>
  <c r="F384" i="6" s="1"/>
  <c r="I384" i="6" s="1"/>
  <c r="F383" i="6" a="1"/>
  <c r="F383" i="6" s="1"/>
  <c r="I383" i="6" s="1"/>
  <c r="F382" i="6" a="1"/>
  <c r="F382" i="6" s="1"/>
  <c r="I382" i="6" s="1"/>
  <c r="F348" i="6" a="1"/>
  <c r="F348" i="6" s="1"/>
  <c r="I348" i="6" s="1"/>
  <c r="F275" i="6" a="1"/>
  <c r="F275" i="6" s="1"/>
  <c r="I275" i="6" s="1"/>
  <c r="F625" i="6" a="1"/>
  <c r="F625" i="6" s="1"/>
  <c r="I625" i="6" s="1"/>
  <c r="F624" i="6" a="1"/>
  <c r="F624" i="6" s="1"/>
  <c r="I624" i="6" s="1"/>
  <c r="F623" i="6" a="1"/>
  <c r="F623" i="6" s="1"/>
  <c r="I623" i="6" s="1"/>
  <c r="F622" i="6" a="1"/>
  <c r="F622" i="6" s="1"/>
  <c r="I622" i="6" s="1"/>
  <c r="F621" i="6" a="1"/>
  <c r="F621" i="6" s="1"/>
  <c r="I621" i="6" s="1"/>
  <c r="F620" i="6" a="1"/>
  <c r="F620" i="6" s="1"/>
  <c r="I620" i="6" s="1"/>
  <c r="F619" i="6" a="1"/>
  <c r="F619" i="6" s="1"/>
  <c r="I619" i="6" s="1"/>
  <c r="F618" i="6" a="1"/>
  <c r="F618" i="6" s="1"/>
  <c r="I618" i="6" s="1"/>
  <c r="F617" i="6" a="1"/>
  <c r="F617" i="6" s="1"/>
  <c r="I617" i="6" s="1"/>
  <c r="F616" i="6" a="1"/>
  <c r="F616" i="6" s="1"/>
  <c r="I616" i="6" s="1"/>
  <c r="F615" i="6" a="1"/>
  <c r="F615" i="6" s="1"/>
  <c r="I615" i="6" s="1"/>
  <c r="F614" i="6" a="1"/>
  <c r="F614" i="6" s="1"/>
  <c r="I614" i="6" s="1"/>
  <c r="F613" i="6" a="1"/>
  <c r="F613" i="6" s="1"/>
  <c r="I613" i="6" s="1"/>
  <c r="F612" i="6" a="1"/>
  <c r="F612" i="6" s="1"/>
  <c r="I612" i="6" s="1"/>
  <c r="F611" i="6" a="1"/>
  <c r="F611" i="6" s="1"/>
  <c r="I611" i="6" s="1"/>
  <c r="F610" i="6" a="1"/>
  <c r="F610" i="6" s="1"/>
  <c r="I610" i="6" s="1"/>
  <c r="F609" i="6" a="1"/>
  <c r="F609" i="6" s="1"/>
  <c r="I609" i="6" s="1"/>
  <c r="F608" i="6" a="1"/>
  <c r="F608" i="6" s="1"/>
  <c r="I608" i="6" s="1"/>
  <c r="F607" i="6" a="1"/>
  <c r="F607" i="6" s="1"/>
  <c r="I607" i="6" s="1"/>
  <c r="F606" i="6" a="1"/>
  <c r="F606" i="6" s="1"/>
  <c r="I606" i="6" s="1"/>
  <c r="F605" i="6" a="1"/>
  <c r="F605" i="6" s="1"/>
  <c r="I605" i="6" s="1"/>
  <c r="F604" i="6" a="1"/>
  <c r="F604" i="6" s="1"/>
  <c r="I604" i="6" s="1"/>
  <c r="F603" i="6" a="1"/>
  <c r="F603" i="6" s="1"/>
  <c r="I603" i="6" s="1"/>
  <c r="F602" i="6" a="1"/>
  <c r="F602" i="6" s="1"/>
  <c r="I602" i="6" s="1"/>
  <c r="F601" i="6" a="1"/>
  <c r="F601" i="6" s="1"/>
  <c r="I601" i="6" s="1"/>
  <c r="F599" i="6" a="1"/>
  <c r="F599" i="6" s="1"/>
  <c r="I599" i="6" s="1"/>
  <c r="F597" i="6" a="1"/>
  <c r="F597" i="6" s="1"/>
  <c r="I597" i="6" s="1"/>
  <c r="F596" i="6" a="1"/>
  <c r="F596" i="6" s="1"/>
  <c r="I596" i="6" s="1"/>
  <c r="F595" i="6" a="1"/>
  <c r="F595" i="6" s="1"/>
  <c r="I595" i="6" s="1"/>
  <c r="F593" i="6" a="1"/>
  <c r="F593" i="6" s="1"/>
  <c r="I593" i="6" s="1"/>
  <c r="F592" i="6" a="1"/>
  <c r="F592" i="6" s="1"/>
  <c r="I592" i="6" s="1"/>
  <c r="F591" i="6" a="1"/>
  <c r="F591" i="6" s="1"/>
  <c r="I591" i="6" s="1"/>
  <c r="F590" i="6" a="1"/>
  <c r="F590" i="6" s="1"/>
  <c r="I590" i="6" s="1"/>
  <c r="F589" i="6" a="1"/>
  <c r="F589" i="6" s="1"/>
  <c r="I589" i="6" s="1"/>
  <c r="F588" i="6" a="1"/>
  <c r="F588" i="6" s="1"/>
  <c r="I588" i="6" s="1"/>
  <c r="F587" i="6" a="1"/>
  <c r="F587" i="6" s="1"/>
  <c r="I587" i="6" s="1"/>
  <c r="F586" i="6" a="1"/>
  <c r="F586" i="6" s="1"/>
  <c r="I586" i="6" s="1"/>
  <c r="F585" i="6" a="1"/>
  <c r="F585" i="6" s="1"/>
  <c r="I585" i="6" s="1"/>
  <c r="F584" i="6" a="1"/>
  <c r="F584" i="6" s="1"/>
  <c r="I584" i="6" s="1"/>
  <c r="F583" i="6" a="1"/>
  <c r="F583" i="6" s="1"/>
  <c r="I583" i="6" s="1"/>
  <c r="F582" i="6" a="1"/>
  <c r="F582" i="6" s="1"/>
  <c r="I582" i="6" s="1"/>
  <c r="F581" i="6" a="1"/>
  <c r="F581" i="6" s="1"/>
  <c r="I581" i="6" s="1"/>
  <c r="F685" i="6" a="1"/>
  <c r="F685" i="6" s="1"/>
  <c r="I685" i="6" s="1"/>
  <c r="F674" i="6" a="1"/>
  <c r="F674" i="6" s="1"/>
  <c r="I674" i="6" s="1"/>
  <c r="F657" i="6" a="1"/>
  <c r="F657" i="6" s="1"/>
  <c r="I657" i="6" s="1"/>
  <c r="F652" i="6" a="1"/>
  <c r="F652" i="6" s="1"/>
  <c r="I652" i="6" s="1"/>
  <c r="F651" i="6" a="1"/>
  <c r="F651" i="6" s="1"/>
  <c r="I651" i="6" s="1"/>
  <c r="F650" i="6" a="1"/>
  <c r="F650" i="6" s="1"/>
  <c r="I650" i="6" s="1"/>
  <c r="F648" i="6" a="1"/>
  <c r="F648" i="6" s="1"/>
  <c r="I648" i="6" s="1"/>
  <c r="F646" i="6" a="1"/>
  <c r="F646" i="6" s="1"/>
  <c r="I646" i="6" s="1"/>
  <c r="F645" i="6" a="1"/>
  <c r="F645" i="6" s="1"/>
  <c r="I645" i="6" s="1"/>
  <c r="F644" i="6" a="1"/>
  <c r="F644" i="6" s="1"/>
  <c r="I644" i="6" s="1"/>
  <c r="F643" i="6" a="1"/>
  <c r="F643" i="6" s="1"/>
  <c r="I643" i="6" s="1"/>
  <c r="F642" i="6" a="1"/>
  <c r="F642" i="6" s="1"/>
  <c r="I642" i="6" s="1"/>
  <c r="F641" i="6" a="1"/>
  <c r="F641" i="6" s="1"/>
  <c r="I641" i="6" s="1"/>
  <c r="F640" i="6" a="1"/>
  <c r="F640" i="6" s="1"/>
  <c r="I640" i="6" s="1"/>
  <c r="F638" i="6" a="1"/>
  <c r="F638" i="6" s="1"/>
  <c r="I638" i="6" s="1"/>
  <c r="F633" i="6" a="1"/>
  <c r="F633" i="6" s="1"/>
  <c r="I633" i="6" s="1"/>
  <c r="F632" i="6" a="1"/>
  <c r="F632" i="6" s="1"/>
  <c r="I632" i="6" s="1"/>
  <c r="F631" i="6" a="1"/>
  <c r="F631" i="6" s="1"/>
  <c r="I631" i="6" s="1"/>
  <c r="F630" i="6" a="1"/>
  <c r="F630" i="6" s="1"/>
  <c r="I630" i="6" s="1"/>
  <c r="F629" i="6" a="1"/>
  <c r="F629" i="6" s="1"/>
  <c r="I629" i="6" s="1"/>
  <c r="F628" i="6" a="1"/>
  <c r="F628" i="6" s="1"/>
  <c r="I628" i="6" s="1"/>
  <c r="F627" i="6" a="1"/>
  <c r="F627" i="6" s="1"/>
  <c r="I627" i="6" s="1"/>
  <c r="F626" i="6" a="1"/>
  <c r="F626" i="6" s="1"/>
  <c r="I626" i="6" s="1"/>
  <c r="F340" i="6" a="1"/>
  <c r="F340" i="6" s="1"/>
  <c r="I340" i="6" s="1"/>
  <c r="F339" i="6" a="1"/>
  <c r="F339" i="6" s="1"/>
  <c r="I339" i="6" s="1"/>
  <c r="F855" i="6" a="1"/>
  <c r="F855" i="6" s="1"/>
  <c r="I855" i="6" s="1"/>
  <c r="F856" i="6" a="1"/>
  <c r="F856" i="6" s="1"/>
  <c r="I856" i="6" s="1"/>
  <c r="F857" i="6" a="1"/>
  <c r="F857" i="6" s="1"/>
  <c r="I857" i="6" s="1"/>
  <c r="F858" i="6" a="1"/>
  <c r="F858" i="6" s="1"/>
  <c r="I858" i="6" s="1"/>
  <c r="F859" i="6" a="1"/>
  <c r="F859" i="6" s="1"/>
  <c r="I859" i="6" s="1"/>
  <c r="F860" i="6" a="1"/>
  <c r="F860" i="6" s="1"/>
  <c r="I860" i="6" s="1"/>
  <c r="F861" i="6" a="1"/>
  <c r="F861" i="6" s="1"/>
  <c r="I861" i="6" s="1"/>
  <c r="F862" i="6" a="1"/>
  <c r="F862" i="6" s="1"/>
  <c r="I862" i="6" s="1"/>
  <c r="F863" i="6" a="1"/>
  <c r="F863" i="6" s="1"/>
  <c r="I863" i="6" s="1"/>
  <c r="F864" i="6" a="1"/>
  <c r="F864" i="6" s="1"/>
  <c r="F865" i="6" a="1"/>
  <c r="F865" i="6" s="1"/>
  <c r="F866" i="6" a="1"/>
  <c r="F866" i="6" s="1"/>
  <c r="F867" i="6" a="1"/>
  <c r="F867" i="6" s="1"/>
  <c r="F868" i="6" a="1"/>
  <c r="F868" i="6" s="1"/>
  <c r="F869" i="6" a="1"/>
  <c r="F869" i="6" s="1"/>
  <c r="F870" i="6" a="1"/>
  <c r="F870" i="6" s="1"/>
  <c r="F871" i="6" a="1"/>
  <c r="F871" i="6" s="1"/>
  <c r="F872" i="6" a="1"/>
  <c r="F872" i="6" s="1"/>
  <c r="F873" i="6" a="1"/>
  <c r="F873" i="6" s="1"/>
  <c r="F874" i="6" a="1"/>
  <c r="F874" i="6" s="1"/>
  <c r="F875" i="6" a="1"/>
  <c r="F875" i="6" s="1"/>
  <c r="F876" i="6" a="1"/>
  <c r="F876" i="6" s="1"/>
  <c r="F877" i="6" a="1"/>
  <c r="F877" i="6" s="1"/>
  <c r="F878" i="6" a="1"/>
  <c r="F878" i="6" s="1"/>
  <c r="F879" i="6" a="1"/>
  <c r="F879" i="6" s="1"/>
  <c r="F880" i="6" a="1"/>
  <c r="F880" i="6" s="1"/>
  <c r="F881" i="6" a="1"/>
  <c r="F881" i="6" s="1"/>
  <c r="F882" i="6" a="1"/>
  <c r="F882" i="6" s="1"/>
  <c r="F883" i="6" a="1"/>
  <c r="F883" i="6" s="1"/>
  <c r="F884" i="6" a="1"/>
  <c r="F884" i="6" s="1"/>
  <c r="F885" i="6" a="1"/>
  <c r="F885" i="6" s="1"/>
  <c r="F886" i="6" a="1"/>
  <c r="F886" i="6" s="1"/>
  <c r="F887" i="6" a="1"/>
  <c r="F887" i="6" s="1"/>
  <c r="F888" i="6" a="1"/>
  <c r="F888" i="6" s="1"/>
  <c r="F889" i="6" a="1"/>
  <c r="F889" i="6" s="1"/>
  <c r="F890" i="6" a="1"/>
  <c r="F890" i="6" s="1"/>
  <c r="F891" i="6" a="1"/>
  <c r="F891" i="6" s="1"/>
  <c r="F892" i="6" a="1"/>
  <c r="F892" i="6" s="1"/>
  <c r="F893" i="6" a="1"/>
  <c r="F893" i="6" s="1"/>
  <c r="F894" i="6" a="1"/>
  <c r="F894" i="6" s="1"/>
  <c r="F895" i="6" a="1"/>
  <c r="F895" i="6" s="1"/>
  <c r="F896" i="6" a="1"/>
  <c r="F896" i="6" s="1"/>
  <c r="F897" i="6" a="1"/>
  <c r="F897" i="6" s="1"/>
  <c r="F898" i="6" a="1"/>
  <c r="F898" i="6" s="1"/>
  <c r="F899" i="6" a="1"/>
  <c r="F899" i="6" s="1"/>
  <c r="F900" i="6" a="1"/>
  <c r="F900" i="6" s="1"/>
  <c r="F901" i="6" a="1"/>
  <c r="F901" i="6" s="1"/>
  <c r="F902" i="6" a="1"/>
  <c r="F902" i="6" s="1"/>
  <c r="F903" i="6" a="1"/>
  <c r="F903" i="6" s="1"/>
  <c r="F904" i="6" a="1"/>
  <c r="F904" i="6" s="1"/>
  <c r="F905" i="6" a="1"/>
  <c r="F905" i="6" s="1"/>
  <c r="F906" i="6" a="1"/>
  <c r="F906" i="6" s="1"/>
  <c r="F907" i="6" a="1"/>
  <c r="F907" i="6" s="1"/>
  <c r="F908" i="6" a="1"/>
  <c r="F908" i="6" s="1"/>
  <c r="F909" i="6" a="1"/>
  <c r="F909" i="6" s="1"/>
  <c r="F910" i="6" a="1"/>
  <c r="F910" i="6" s="1"/>
  <c r="F911" i="6" a="1"/>
  <c r="F911" i="6" s="1"/>
  <c r="F912" i="6" a="1"/>
  <c r="F912" i="6" s="1"/>
  <c r="F913" i="6" a="1"/>
  <c r="F913" i="6" s="1"/>
  <c r="F914" i="6" a="1"/>
  <c r="F914" i="6" s="1"/>
  <c r="F915" i="6" a="1"/>
  <c r="F915" i="6" s="1"/>
  <c r="F916" i="6" a="1"/>
  <c r="F916" i="6" s="1"/>
  <c r="F917" i="6" a="1"/>
  <c r="F917" i="6" s="1"/>
  <c r="F918" i="6" a="1"/>
  <c r="F918" i="6" s="1"/>
  <c r="F919" i="6" a="1"/>
  <c r="F919" i="6" s="1"/>
  <c r="F920" i="6" a="1"/>
  <c r="F920" i="6" s="1"/>
  <c r="F921" i="6" a="1"/>
  <c r="F921" i="6" s="1"/>
  <c r="F922" i="6" a="1"/>
  <c r="F922" i="6" s="1"/>
  <c r="F923" i="6" a="1"/>
  <c r="F923" i="6" s="1"/>
  <c r="F924" i="6" a="1"/>
  <c r="F924" i="6" s="1"/>
  <c r="F925" i="6" a="1"/>
  <c r="F925" i="6" s="1"/>
  <c r="F926" i="6" a="1"/>
  <c r="F926" i="6" s="1"/>
  <c r="H259" i="6"/>
  <c r="U32" i="6"/>
  <c r="U31" i="6"/>
  <c r="U30" i="6"/>
  <c r="U29" i="6"/>
  <c r="U27" i="6"/>
  <c r="U26" i="6"/>
  <c r="U25" i="6"/>
  <c r="U24" i="6"/>
  <c r="U22" i="6"/>
  <c r="U21" i="6"/>
  <c r="U20" i="6"/>
  <c r="U19" i="6"/>
  <c r="U17" i="6"/>
  <c r="U16" i="6"/>
  <c r="U15" i="6"/>
  <c r="U14" i="6"/>
  <c r="U12" i="6"/>
  <c r="U11" i="6"/>
  <c r="U10" i="6"/>
  <c r="U9" i="6"/>
  <c r="U7" i="6"/>
  <c r="U6" i="6"/>
  <c r="U5" i="6"/>
  <c r="U4" i="6"/>
  <c r="Q50" i="6"/>
  <c r="Q49" i="6"/>
  <c r="Q48" i="6"/>
  <c r="Q47" i="6"/>
  <c r="Q46" i="6"/>
  <c r="Q45" i="6"/>
  <c r="Q44" i="6"/>
  <c r="Q42" i="6"/>
  <c r="Q41" i="6"/>
  <c r="Q40" i="6"/>
  <c r="Q39" i="6"/>
  <c r="Q38" i="6"/>
  <c r="Q37" i="6"/>
  <c r="Q36" i="6"/>
  <c r="Q32" i="6"/>
  <c r="Q34" i="6"/>
  <c r="Q33" i="6"/>
  <c r="Q31" i="6"/>
  <c r="Q30" i="6"/>
  <c r="Q29" i="6"/>
  <c r="Q28" i="6"/>
  <c r="Q26" i="6"/>
  <c r="Q25" i="6"/>
  <c r="Q24" i="6"/>
  <c r="Q23" i="6"/>
  <c r="Q22" i="6"/>
  <c r="Q21" i="6"/>
  <c r="Q20" i="6"/>
  <c r="Q18" i="6"/>
  <c r="Q17" i="6"/>
  <c r="Q16" i="6"/>
  <c r="Q15" i="6"/>
  <c r="Q14" i="6"/>
  <c r="Q13" i="6"/>
  <c r="Q12" i="6"/>
  <c r="H853" i="6"/>
  <c r="F853" i="6" a="1"/>
  <c r="F853" i="6" s="1"/>
  <c r="I853" i="6" s="1"/>
  <c r="H852" i="6"/>
  <c r="F852" i="6" a="1"/>
  <c r="F852" i="6" s="1"/>
  <c r="I852" i="6" s="1"/>
  <c r="H851" i="6"/>
  <c r="F851" i="6" a="1"/>
  <c r="F851" i="6" s="1"/>
  <c r="I851" i="6" s="1"/>
  <c r="H850" i="6"/>
  <c r="F850" i="6" a="1"/>
  <c r="F850" i="6" s="1"/>
  <c r="I850" i="6" s="1"/>
  <c r="H849" i="6"/>
  <c r="F849" i="6" a="1"/>
  <c r="F849" i="6" s="1"/>
  <c r="I849" i="6" s="1"/>
  <c r="H848" i="6"/>
  <c r="F848" i="6" a="1"/>
  <c r="F848" i="6" s="1"/>
  <c r="I848" i="6" s="1"/>
  <c r="H847" i="6"/>
  <c r="F847" i="6" a="1"/>
  <c r="F847" i="6" s="1"/>
  <c r="I847" i="6" s="1"/>
  <c r="H846" i="6"/>
  <c r="F846" i="6" a="1"/>
  <c r="F846" i="6" s="1"/>
  <c r="I846" i="6" s="1"/>
  <c r="H845" i="6"/>
  <c r="F845" i="6" a="1"/>
  <c r="F845" i="6" s="1"/>
  <c r="I845" i="6" s="1"/>
  <c r="H844" i="6"/>
  <c r="F844" i="6" a="1"/>
  <c r="F844" i="6" s="1"/>
  <c r="I844" i="6" s="1"/>
  <c r="H843" i="6"/>
  <c r="F843" i="6" a="1"/>
  <c r="F843" i="6" s="1"/>
  <c r="I843" i="6" s="1"/>
  <c r="H842" i="6"/>
  <c r="F842" i="6" a="1"/>
  <c r="F842" i="6" s="1"/>
  <c r="I842" i="6" s="1"/>
  <c r="H841" i="6"/>
  <c r="F841" i="6" a="1"/>
  <c r="F841" i="6" s="1"/>
  <c r="I841" i="6" s="1"/>
  <c r="H840" i="6"/>
  <c r="F840" i="6" a="1"/>
  <c r="F840" i="6" s="1"/>
  <c r="I840" i="6" s="1"/>
  <c r="H839" i="6"/>
  <c r="F839" i="6" a="1"/>
  <c r="F839" i="6" s="1"/>
  <c r="I839" i="6" s="1"/>
  <c r="H838" i="6"/>
  <c r="F838" i="6" a="1"/>
  <c r="F838" i="6" s="1"/>
  <c r="I838" i="6" s="1"/>
  <c r="H837" i="6"/>
  <c r="F837" i="6" a="1"/>
  <c r="F837" i="6" s="1"/>
  <c r="I837" i="6" s="1"/>
  <c r="H836" i="6"/>
  <c r="F836" i="6" a="1"/>
  <c r="F836" i="6" s="1"/>
  <c r="I836" i="6" s="1"/>
  <c r="H835" i="6"/>
  <c r="F835" i="6" a="1"/>
  <c r="F835" i="6" s="1"/>
  <c r="I835" i="6" s="1"/>
  <c r="H834" i="6"/>
  <c r="F834" i="6" a="1"/>
  <c r="F834" i="6" s="1"/>
  <c r="I834" i="6" s="1"/>
  <c r="H833" i="6"/>
  <c r="F833" i="6" a="1"/>
  <c r="F833" i="6" s="1"/>
  <c r="I833" i="6" s="1"/>
  <c r="H832" i="6"/>
  <c r="F832" i="6" a="1"/>
  <c r="F832" i="6" s="1"/>
  <c r="I832" i="6" s="1"/>
  <c r="H831" i="6"/>
  <c r="F831" i="6" a="1"/>
  <c r="F831" i="6" s="1"/>
  <c r="I831" i="6" s="1"/>
  <c r="H830" i="6"/>
  <c r="F830" i="6" a="1"/>
  <c r="F830" i="6" s="1"/>
  <c r="I830" i="6" s="1"/>
  <c r="H829" i="6"/>
  <c r="F829" i="6" a="1"/>
  <c r="F829" i="6" s="1"/>
  <c r="I829" i="6" s="1"/>
  <c r="H828" i="6"/>
  <c r="F828" i="6" a="1"/>
  <c r="F828" i="6" s="1"/>
  <c r="I828" i="6" s="1"/>
  <c r="H827" i="6"/>
  <c r="F827" i="6" a="1"/>
  <c r="F827" i="6" s="1"/>
  <c r="I827" i="6" s="1"/>
  <c r="H826" i="6"/>
  <c r="F826" i="6" a="1"/>
  <c r="F826" i="6" s="1"/>
  <c r="I826" i="6" s="1"/>
  <c r="H825" i="6"/>
  <c r="F825" i="6" a="1"/>
  <c r="F825" i="6" s="1"/>
  <c r="I825" i="6" s="1"/>
  <c r="H824" i="6"/>
  <c r="F824" i="6" a="1"/>
  <c r="F824" i="6" s="1"/>
  <c r="I824" i="6" s="1"/>
  <c r="H823" i="6"/>
  <c r="F823" i="6" a="1"/>
  <c r="F823" i="6" s="1"/>
  <c r="I823" i="6" s="1"/>
  <c r="H822" i="6"/>
  <c r="F822" i="6" a="1"/>
  <c r="F822" i="6" s="1"/>
  <c r="I822" i="6" s="1"/>
  <c r="H821" i="6"/>
  <c r="F821" i="6" a="1"/>
  <c r="F821" i="6" s="1"/>
  <c r="I821" i="6" s="1"/>
  <c r="H820" i="6"/>
  <c r="F820" i="6" a="1"/>
  <c r="F820" i="6" s="1"/>
  <c r="I820" i="6" s="1"/>
  <c r="H819" i="6"/>
  <c r="F819" i="6" a="1"/>
  <c r="F819" i="6" s="1"/>
  <c r="I819" i="6" s="1"/>
  <c r="H818" i="6"/>
  <c r="F818" i="6" a="1"/>
  <c r="F818" i="6" s="1"/>
  <c r="I818" i="6" s="1"/>
  <c r="H817" i="6"/>
  <c r="F817" i="6" a="1"/>
  <c r="F817" i="6" s="1"/>
  <c r="I817" i="6" s="1"/>
  <c r="H816" i="6"/>
  <c r="F816" i="6" a="1"/>
  <c r="F816" i="6" s="1"/>
  <c r="I816" i="6" s="1"/>
  <c r="H815" i="6"/>
  <c r="F815" i="6" a="1"/>
  <c r="F815" i="6" s="1"/>
  <c r="I815" i="6" s="1"/>
  <c r="H814" i="6"/>
  <c r="F814" i="6" a="1"/>
  <c r="F814" i="6" s="1"/>
  <c r="I814" i="6" s="1"/>
  <c r="H813" i="6"/>
  <c r="F813" i="6" a="1"/>
  <c r="F813" i="6" s="1"/>
  <c r="I813" i="6" s="1"/>
  <c r="H812" i="6"/>
  <c r="F812" i="6" a="1"/>
  <c r="F812" i="6" s="1"/>
  <c r="I812" i="6" s="1"/>
  <c r="F811" i="6" a="1"/>
  <c r="F811" i="6" s="1"/>
  <c r="F810" i="6" a="1"/>
  <c r="F810" i="6" s="1"/>
  <c r="H809" i="6"/>
  <c r="F809" i="6" a="1"/>
  <c r="F809" i="6" s="1"/>
  <c r="H808" i="6"/>
  <c r="F808" i="6" a="1"/>
  <c r="F808" i="6" s="1"/>
  <c r="H807" i="6"/>
  <c r="F807" i="6" a="1"/>
  <c r="F807" i="6" s="1"/>
  <c r="I807" i="6" s="1"/>
  <c r="H806" i="6"/>
  <c r="F806" i="6" a="1"/>
  <c r="F806" i="6" s="1"/>
  <c r="I806" i="6" s="1"/>
  <c r="H805" i="6"/>
  <c r="F805" i="6" a="1"/>
  <c r="F805" i="6" s="1"/>
  <c r="I805" i="6" s="1"/>
  <c r="H804" i="6"/>
  <c r="F804" i="6" a="1"/>
  <c r="F804" i="6" s="1"/>
  <c r="I804" i="6" s="1"/>
  <c r="H803" i="6"/>
  <c r="F803" i="6" a="1"/>
  <c r="F803" i="6" s="1"/>
  <c r="I803" i="6" s="1"/>
  <c r="H802" i="6"/>
  <c r="F802" i="6" a="1"/>
  <c r="F802" i="6" s="1"/>
  <c r="I802" i="6" s="1"/>
  <c r="H801" i="6"/>
  <c r="F801" i="6" a="1"/>
  <c r="F801" i="6" s="1"/>
  <c r="I801" i="6" s="1"/>
  <c r="H800" i="6"/>
  <c r="F800" i="6" a="1"/>
  <c r="F800" i="6" s="1"/>
  <c r="I800" i="6" s="1"/>
  <c r="H799" i="6"/>
  <c r="F799" i="6" a="1"/>
  <c r="F799" i="6" s="1"/>
  <c r="I799" i="6" s="1"/>
  <c r="H798" i="6"/>
  <c r="F798" i="6" a="1"/>
  <c r="F798" i="6" s="1"/>
  <c r="H797" i="6"/>
  <c r="F797" i="6" a="1"/>
  <c r="F797" i="6" s="1"/>
  <c r="I797" i="6" s="1"/>
  <c r="H796" i="6"/>
  <c r="F796" i="6" a="1"/>
  <c r="F796" i="6" s="1"/>
  <c r="I796" i="6" s="1"/>
  <c r="H795" i="6"/>
  <c r="F795" i="6" a="1"/>
  <c r="F795" i="6" s="1"/>
  <c r="I795" i="6" s="1"/>
  <c r="H794" i="6"/>
  <c r="F794" i="6" a="1"/>
  <c r="F794" i="6" s="1"/>
  <c r="I794" i="6" s="1"/>
  <c r="H793" i="6"/>
  <c r="F793" i="6" a="1"/>
  <c r="F793" i="6" s="1"/>
  <c r="I793" i="6" s="1"/>
  <c r="H792" i="6"/>
  <c r="F792" i="6" a="1"/>
  <c r="F792" i="6" s="1"/>
  <c r="I792" i="6" s="1"/>
  <c r="F791" i="6" a="1"/>
  <c r="F791" i="6" s="1"/>
  <c r="H790" i="6"/>
  <c r="F790" i="6" a="1"/>
  <c r="F790" i="6" s="1"/>
  <c r="I790" i="6" s="1"/>
  <c r="H789" i="6"/>
  <c r="F789" i="6" a="1"/>
  <c r="F789" i="6" s="1"/>
  <c r="I789" i="6" s="1"/>
  <c r="H788" i="6"/>
  <c r="F788" i="6" a="1"/>
  <c r="F788" i="6" s="1"/>
  <c r="I788" i="6" s="1"/>
  <c r="H787" i="6"/>
  <c r="F787" i="6" a="1"/>
  <c r="F787" i="6" s="1"/>
  <c r="I787" i="6" s="1"/>
  <c r="F786" i="6" a="1"/>
  <c r="F786" i="6" s="1"/>
  <c r="H785" i="6"/>
  <c r="F785" i="6" a="1"/>
  <c r="F785" i="6" s="1"/>
  <c r="I785" i="6" s="1"/>
  <c r="H784" i="6"/>
  <c r="F784" i="6" a="1"/>
  <c r="F784" i="6" s="1"/>
  <c r="I784" i="6" s="1"/>
  <c r="H783" i="6"/>
  <c r="F783" i="6" a="1"/>
  <c r="F783" i="6" s="1"/>
  <c r="I783" i="6" s="1"/>
  <c r="H782" i="6"/>
  <c r="F782" i="6" a="1"/>
  <c r="F782" i="6" s="1"/>
  <c r="I782" i="6" s="1"/>
  <c r="H781" i="6"/>
  <c r="F781" i="6" a="1"/>
  <c r="F781" i="6" s="1"/>
  <c r="I781" i="6" s="1"/>
  <c r="H780" i="6"/>
  <c r="F780" i="6" a="1"/>
  <c r="F780" i="6" s="1"/>
  <c r="I780" i="6" s="1"/>
  <c r="H779" i="6"/>
  <c r="F779" i="6" a="1"/>
  <c r="F779" i="6" s="1"/>
  <c r="I779" i="6" s="1"/>
  <c r="H778" i="6"/>
  <c r="F778" i="6" a="1"/>
  <c r="F778" i="6" s="1"/>
  <c r="I778" i="6" s="1"/>
  <c r="H777" i="6"/>
  <c r="F777" i="6" a="1"/>
  <c r="F777" i="6" s="1"/>
  <c r="I777" i="6" s="1"/>
  <c r="H776" i="6"/>
  <c r="F776" i="6" a="1"/>
  <c r="F776" i="6" s="1"/>
  <c r="I776" i="6" s="1"/>
  <c r="H775" i="6"/>
  <c r="F775" i="6" a="1"/>
  <c r="F775" i="6" s="1"/>
  <c r="I775" i="6" s="1"/>
  <c r="H774" i="6"/>
  <c r="F774" i="6" a="1"/>
  <c r="F774" i="6" s="1"/>
  <c r="I774" i="6" s="1"/>
  <c r="H773" i="6"/>
  <c r="F773" i="6" a="1"/>
  <c r="F773" i="6" s="1"/>
  <c r="I773" i="6" s="1"/>
  <c r="H772" i="6"/>
  <c r="F772" i="6" a="1"/>
  <c r="F772" i="6" s="1"/>
  <c r="I772" i="6" s="1"/>
  <c r="H771" i="6"/>
  <c r="F771" i="6" a="1"/>
  <c r="F771" i="6" s="1"/>
  <c r="I771" i="6" s="1"/>
  <c r="H770" i="6"/>
  <c r="F770" i="6" a="1"/>
  <c r="F770" i="6" s="1"/>
  <c r="I770" i="6" s="1"/>
  <c r="F769" i="6" a="1"/>
  <c r="F769" i="6" s="1"/>
  <c r="H768" i="6"/>
  <c r="F768" i="6" a="1"/>
  <c r="F768" i="6" s="1"/>
  <c r="I768" i="6" s="1"/>
  <c r="H767" i="6"/>
  <c r="F767" i="6" a="1"/>
  <c r="F767" i="6" s="1"/>
  <c r="I767" i="6" s="1"/>
  <c r="H766" i="6"/>
  <c r="F766" i="6" a="1"/>
  <c r="F766" i="6" s="1"/>
  <c r="I766" i="6" s="1"/>
  <c r="H765" i="6"/>
  <c r="F765" i="6" a="1"/>
  <c r="F765" i="6" s="1"/>
  <c r="I765" i="6" s="1"/>
  <c r="H764" i="6"/>
  <c r="F764" i="6" a="1"/>
  <c r="F764" i="6" s="1"/>
  <c r="I764" i="6" s="1"/>
  <c r="H763" i="6"/>
  <c r="F763" i="6" a="1"/>
  <c r="F763" i="6" s="1"/>
  <c r="I763" i="6" s="1"/>
  <c r="H762" i="6"/>
  <c r="F762" i="6" a="1"/>
  <c r="F762" i="6" s="1"/>
  <c r="I762" i="6" s="1"/>
  <c r="H761" i="6"/>
  <c r="F761" i="6" a="1"/>
  <c r="F761" i="6" s="1"/>
  <c r="I761" i="6" s="1"/>
  <c r="H760" i="6"/>
  <c r="F760" i="6" a="1"/>
  <c r="F760" i="6" s="1"/>
  <c r="I760" i="6" s="1"/>
  <c r="H759" i="6"/>
  <c r="F759" i="6" a="1"/>
  <c r="F759" i="6" s="1"/>
  <c r="I759" i="6" s="1"/>
  <c r="H758" i="6"/>
  <c r="F758" i="6" a="1"/>
  <c r="F758" i="6" s="1"/>
  <c r="I758" i="6" s="1"/>
  <c r="H757" i="6"/>
  <c r="F757" i="6" a="1"/>
  <c r="F757" i="6" s="1"/>
  <c r="I757" i="6" s="1"/>
  <c r="H756" i="6"/>
  <c r="F756" i="6" a="1"/>
  <c r="F756" i="6" s="1"/>
  <c r="I756" i="6" s="1"/>
  <c r="H755" i="6"/>
  <c r="F755" i="6" a="1"/>
  <c r="F755" i="6" s="1"/>
  <c r="I755" i="6" s="1"/>
  <c r="H754" i="6"/>
  <c r="F754" i="6" a="1"/>
  <c r="F754" i="6" s="1"/>
  <c r="I754" i="6" s="1"/>
  <c r="H753" i="6"/>
  <c r="F753" i="6" a="1"/>
  <c r="F753" i="6" s="1"/>
  <c r="I753" i="6" s="1"/>
  <c r="H752" i="6"/>
  <c r="F752" i="6" a="1"/>
  <c r="F752" i="6" s="1"/>
  <c r="I752" i="6" s="1"/>
  <c r="H751" i="6"/>
  <c r="F751" i="6" a="1"/>
  <c r="F751" i="6" s="1"/>
  <c r="I751" i="6" s="1"/>
  <c r="H750" i="6"/>
  <c r="F750" i="6" a="1"/>
  <c r="F750" i="6" s="1"/>
  <c r="I750" i="6" s="1"/>
  <c r="H749" i="6"/>
  <c r="F749" i="6" a="1"/>
  <c r="F749" i="6" s="1"/>
  <c r="I749" i="6" s="1"/>
  <c r="H748" i="6"/>
  <c r="F748" i="6" a="1"/>
  <c r="F748" i="6" s="1"/>
  <c r="I748" i="6" s="1"/>
  <c r="H747" i="6"/>
  <c r="F747" i="6" a="1"/>
  <c r="F747" i="6" s="1"/>
  <c r="I747" i="6" s="1"/>
  <c r="H746" i="6"/>
  <c r="F746" i="6" a="1"/>
  <c r="F746" i="6" s="1"/>
  <c r="I746" i="6" s="1"/>
  <c r="H745" i="6"/>
  <c r="F745" i="6" a="1"/>
  <c r="F745" i="6" s="1"/>
  <c r="I745" i="6" s="1"/>
  <c r="H744" i="6"/>
  <c r="F744" i="6" a="1"/>
  <c r="F744" i="6" s="1"/>
  <c r="I744" i="6" s="1"/>
  <c r="H743" i="6"/>
  <c r="F743" i="6" a="1"/>
  <c r="F743" i="6" s="1"/>
  <c r="I743" i="6" s="1"/>
  <c r="H742" i="6"/>
  <c r="F742" i="6" a="1"/>
  <c r="F742" i="6" s="1"/>
  <c r="I742" i="6" s="1"/>
  <c r="H741" i="6"/>
  <c r="F741" i="6" a="1"/>
  <c r="F741" i="6" s="1"/>
  <c r="I741" i="6" s="1"/>
  <c r="H740" i="6"/>
  <c r="F740" i="6" a="1"/>
  <c r="F740" i="6" s="1"/>
  <c r="I740" i="6" s="1"/>
  <c r="H739" i="6"/>
  <c r="F739" i="6" a="1"/>
  <c r="F739" i="6" s="1"/>
  <c r="I739" i="6" s="1"/>
  <c r="H738" i="6"/>
  <c r="F738" i="6" a="1"/>
  <c r="F738" i="6" s="1"/>
  <c r="I738" i="6" s="1"/>
  <c r="H737" i="6"/>
  <c r="F737" i="6" a="1"/>
  <c r="F737" i="6" s="1"/>
  <c r="I737" i="6" s="1"/>
  <c r="H736" i="6"/>
  <c r="F736" i="6" a="1"/>
  <c r="F736" i="6" s="1"/>
  <c r="I736" i="6" s="1"/>
  <c r="H735" i="6"/>
  <c r="F735" i="6" a="1"/>
  <c r="F735" i="6" s="1"/>
  <c r="I735" i="6" s="1"/>
  <c r="H734" i="6"/>
  <c r="F734" i="6" a="1"/>
  <c r="F734" i="6" s="1"/>
  <c r="I734" i="6" s="1"/>
  <c r="H733" i="6"/>
  <c r="F733" i="6" a="1"/>
  <c r="F733" i="6" s="1"/>
  <c r="I733" i="6" s="1"/>
  <c r="H732" i="6"/>
  <c r="F732" i="6" a="1"/>
  <c r="F732" i="6" s="1"/>
  <c r="I732" i="6" s="1"/>
  <c r="F731" i="6" a="1"/>
  <c r="F731" i="6" s="1"/>
  <c r="H730" i="6"/>
  <c r="F730" i="6" a="1"/>
  <c r="F730" i="6" s="1"/>
  <c r="I730" i="6" s="1"/>
  <c r="H729" i="6"/>
  <c r="F729" i="6" a="1"/>
  <c r="F729" i="6" s="1"/>
  <c r="I729" i="6" s="1"/>
  <c r="H728" i="6"/>
  <c r="F728" i="6" a="1"/>
  <c r="F728" i="6" s="1"/>
  <c r="I728" i="6" s="1"/>
  <c r="H727" i="6"/>
  <c r="F727" i="6" a="1"/>
  <c r="F727" i="6" s="1"/>
  <c r="I727" i="6" s="1"/>
  <c r="H726" i="6"/>
  <c r="F726" i="6" a="1"/>
  <c r="F726" i="6" s="1"/>
  <c r="I726" i="6" s="1"/>
  <c r="H725" i="6"/>
  <c r="F725" i="6" a="1"/>
  <c r="F725" i="6" s="1"/>
  <c r="I725" i="6" s="1"/>
  <c r="H724" i="6"/>
  <c r="F724" i="6" a="1"/>
  <c r="F724" i="6" s="1"/>
  <c r="I724" i="6" s="1"/>
  <c r="H723" i="6"/>
  <c r="F723" i="6" a="1"/>
  <c r="F723" i="6" s="1"/>
  <c r="I723" i="6" s="1"/>
  <c r="H722" i="6"/>
  <c r="F722" i="6" a="1"/>
  <c r="F722" i="6" s="1"/>
  <c r="I722" i="6" s="1"/>
  <c r="H721" i="6"/>
  <c r="F721" i="6" a="1"/>
  <c r="F721" i="6" s="1"/>
  <c r="I721" i="6" s="1"/>
  <c r="H720" i="6"/>
  <c r="F720" i="6" a="1"/>
  <c r="F720" i="6" s="1"/>
  <c r="I720" i="6" s="1"/>
  <c r="H719" i="6"/>
  <c r="F719" i="6" a="1"/>
  <c r="F719" i="6" s="1"/>
  <c r="I719" i="6" s="1"/>
  <c r="H718" i="6"/>
  <c r="F718" i="6" a="1"/>
  <c r="F718" i="6" s="1"/>
  <c r="I718" i="6" s="1"/>
  <c r="H717" i="6"/>
  <c r="F717" i="6" a="1"/>
  <c r="F717" i="6" s="1"/>
  <c r="I717" i="6" s="1"/>
  <c r="H716" i="6"/>
  <c r="F716" i="6" a="1"/>
  <c r="F716" i="6" s="1"/>
  <c r="I716" i="6" s="1"/>
  <c r="H715" i="6"/>
  <c r="F715" i="6" a="1"/>
  <c r="F715" i="6" s="1"/>
  <c r="I715" i="6" s="1"/>
  <c r="H714" i="6"/>
  <c r="F714" i="6" a="1"/>
  <c r="F714" i="6" s="1"/>
  <c r="I714" i="6" s="1"/>
  <c r="H713" i="6"/>
  <c r="F713" i="6" a="1"/>
  <c r="F713" i="6" s="1"/>
  <c r="I713" i="6" s="1"/>
  <c r="H712" i="6"/>
  <c r="F712" i="6" a="1"/>
  <c r="F712" i="6" s="1"/>
  <c r="I712" i="6" s="1"/>
  <c r="H711" i="6"/>
  <c r="F711" i="6" a="1"/>
  <c r="F711" i="6" s="1"/>
  <c r="I711" i="6" s="1"/>
  <c r="H710" i="6"/>
  <c r="F710" i="6" a="1"/>
  <c r="F710" i="6" s="1"/>
  <c r="I710" i="6" s="1"/>
  <c r="H709" i="6"/>
  <c r="F709" i="6" a="1"/>
  <c r="F709" i="6" s="1"/>
  <c r="I709" i="6" s="1"/>
  <c r="H708" i="6"/>
  <c r="F708" i="6" a="1"/>
  <c r="F708" i="6" s="1"/>
  <c r="I708" i="6" s="1"/>
  <c r="H707" i="6"/>
  <c r="F707" i="6" a="1"/>
  <c r="F707" i="6" s="1"/>
  <c r="I707" i="6" s="1"/>
  <c r="H706" i="6"/>
  <c r="F706" i="6" a="1"/>
  <c r="F706" i="6" s="1"/>
  <c r="I706" i="6" s="1"/>
  <c r="H705" i="6"/>
  <c r="F705" i="6" a="1"/>
  <c r="F705" i="6" s="1"/>
  <c r="I705" i="6" s="1"/>
  <c r="H704" i="6"/>
  <c r="F704" i="6" a="1"/>
  <c r="F704" i="6" s="1"/>
  <c r="I704" i="6" s="1"/>
  <c r="H703" i="6"/>
  <c r="F703" i="6" a="1"/>
  <c r="F703" i="6" s="1"/>
  <c r="I703" i="6" s="1"/>
  <c r="H702" i="6"/>
  <c r="F702" i="6" a="1"/>
  <c r="F702" i="6" s="1"/>
  <c r="I702" i="6" s="1"/>
  <c r="H701" i="6"/>
  <c r="F701" i="6" a="1"/>
  <c r="F701" i="6" s="1"/>
  <c r="I701" i="6" s="1"/>
  <c r="H700" i="6"/>
  <c r="F700" i="6" a="1"/>
  <c r="F700" i="6" s="1"/>
  <c r="I700" i="6" s="1"/>
  <c r="H699" i="6"/>
  <c r="F699" i="6" a="1"/>
  <c r="F699" i="6" s="1"/>
  <c r="I699" i="6" s="1"/>
  <c r="H698" i="6"/>
  <c r="F698" i="6" a="1"/>
  <c r="F698" i="6" s="1"/>
  <c r="I698" i="6" s="1"/>
  <c r="H697" i="6"/>
  <c r="F697" i="6" a="1"/>
  <c r="F697" i="6" s="1"/>
  <c r="I697" i="6" s="1"/>
  <c r="H696" i="6"/>
  <c r="F696" i="6" a="1"/>
  <c r="F696" i="6" s="1"/>
  <c r="I696" i="6" s="1"/>
  <c r="H695" i="6"/>
  <c r="F695" i="6" a="1"/>
  <c r="F695" i="6" s="1"/>
  <c r="I695" i="6" s="1"/>
  <c r="H694" i="6"/>
  <c r="F694" i="6" a="1"/>
  <c r="F694" i="6" s="1"/>
  <c r="I694" i="6" s="1"/>
  <c r="H693" i="6"/>
  <c r="F693" i="6" a="1"/>
  <c r="F693" i="6" s="1"/>
  <c r="I693" i="6" s="1"/>
  <c r="H692" i="6"/>
  <c r="F692" i="6" a="1"/>
  <c r="F692" i="6" s="1"/>
  <c r="I692" i="6" s="1"/>
  <c r="H691" i="6"/>
  <c r="F691" i="6" a="1"/>
  <c r="F691" i="6" s="1"/>
  <c r="I691" i="6" s="1"/>
  <c r="H690" i="6"/>
  <c r="F690" i="6" a="1"/>
  <c r="F690" i="6" s="1"/>
  <c r="I690" i="6" s="1"/>
  <c r="H689" i="6"/>
  <c r="F689" i="6" a="1"/>
  <c r="F689" i="6" s="1"/>
  <c r="I689" i="6" s="1"/>
  <c r="H688" i="6"/>
  <c r="F688" i="6" a="1"/>
  <c r="F688" i="6" s="1"/>
  <c r="I688" i="6" s="1"/>
  <c r="H687" i="6"/>
  <c r="F687" i="6" a="1"/>
  <c r="F687" i="6" s="1"/>
  <c r="I687" i="6" s="1"/>
  <c r="H686" i="6"/>
  <c r="F686" i="6" a="1"/>
  <c r="F686" i="6" s="1"/>
  <c r="I686" i="6" s="1"/>
  <c r="H684" i="6"/>
  <c r="F684" i="6" a="1"/>
  <c r="F684" i="6" s="1"/>
  <c r="I684" i="6" s="1"/>
  <c r="H683" i="6"/>
  <c r="F683" i="6" a="1"/>
  <c r="F683" i="6" s="1"/>
  <c r="I683" i="6" s="1"/>
  <c r="H682" i="6"/>
  <c r="F682" i="6" a="1"/>
  <c r="F682" i="6" s="1"/>
  <c r="I682" i="6" s="1"/>
  <c r="H681" i="6"/>
  <c r="F681" i="6" a="1"/>
  <c r="F681" i="6" s="1"/>
  <c r="I681" i="6" s="1"/>
  <c r="H680" i="6"/>
  <c r="F680" i="6" a="1"/>
  <c r="F680" i="6" s="1"/>
  <c r="I680" i="6" s="1"/>
  <c r="H679" i="6"/>
  <c r="F679" i="6" a="1"/>
  <c r="F679" i="6" s="1"/>
  <c r="I679" i="6" s="1"/>
  <c r="H678" i="6"/>
  <c r="F678" i="6" a="1"/>
  <c r="F678" i="6" s="1"/>
  <c r="I678" i="6" s="1"/>
  <c r="H677" i="6"/>
  <c r="F677" i="6" a="1"/>
  <c r="F677" i="6" s="1"/>
  <c r="I677" i="6" s="1"/>
  <c r="H676" i="6"/>
  <c r="F676" i="6" a="1"/>
  <c r="F676" i="6" s="1"/>
  <c r="I676" i="6" s="1"/>
  <c r="H675" i="6"/>
  <c r="F675" i="6" a="1"/>
  <c r="F675" i="6" s="1"/>
  <c r="I675" i="6" s="1"/>
  <c r="H673" i="6"/>
  <c r="F673" i="6" a="1"/>
  <c r="F673" i="6" s="1"/>
  <c r="I673" i="6" s="1"/>
  <c r="H672" i="6"/>
  <c r="F672" i="6" a="1"/>
  <c r="F672" i="6" s="1"/>
  <c r="I672" i="6" s="1"/>
  <c r="H671" i="6"/>
  <c r="F671" i="6" a="1"/>
  <c r="F671" i="6" s="1"/>
  <c r="I671" i="6" s="1"/>
  <c r="H670" i="6"/>
  <c r="F670" i="6" a="1"/>
  <c r="F670" i="6" s="1"/>
  <c r="I670" i="6" s="1"/>
  <c r="H669" i="6"/>
  <c r="F669" i="6" a="1"/>
  <c r="F669" i="6" s="1"/>
  <c r="I669" i="6" s="1"/>
  <c r="H668" i="6"/>
  <c r="F668" i="6" a="1"/>
  <c r="F668" i="6" s="1"/>
  <c r="I668" i="6" s="1"/>
  <c r="H667" i="6"/>
  <c r="F667" i="6" a="1"/>
  <c r="F667" i="6" s="1"/>
  <c r="I667" i="6" s="1"/>
  <c r="H666" i="6"/>
  <c r="F666" i="6" a="1"/>
  <c r="F666" i="6" s="1"/>
  <c r="I666" i="6" s="1"/>
  <c r="H665" i="6"/>
  <c r="F665" i="6" a="1"/>
  <c r="F665" i="6" s="1"/>
  <c r="I665" i="6" s="1"/>
  <c r="H664" i="6"/>
  <c r="F664" i="6" a="1"/>
  <c r="F664" i="6" s="1"/>
  <c r="I664" i="6" s="1"/>
  <c r="H663" i="6"/>
  <c r="F663" i="6" a="1"/>
  <c r="F663" i="6" s="1"/>
  <c r="I663" i="6" s="1"/>
  <c r="H662" i="6"/>
  <c r="F662" i="6" a="1"/>
  <c r="F662" i="6" s="1"/>
  <c r="I662" i="6" s="1"/>
  <c r="H661" i="6"/>
  <c r="F661" i="6" a="1"/>
  <c r="F661" i="6" s="1"/>
  <c r="I661" i="6" s="1"/>
  <c r="H660" i="6"/>
  <c r="F660" i="6" a="1"/>
  <c r="F660" i="6" s="1"/>
  <c r="I660" i="6" s="1"/>
  <c r="H659" i="6"/>
  <c r="F659" i="6" a="1"/>
  <c r="F659" i="6" s="1"/>
  <c r="I659" i="6" s="1"/>
  <c r="H658" i="6"/>
  <c r="F658" i="6" a="1"/>
  <c r="F658" i="6" s="1"/>
  <c r="I658" i="6" s="1"/>
  <c r="H656" i="6"/>
  <c r="F656" i="6" a="1"/>
  <c r="F656" i="6" s="1"/>
  <c r="I656" i="6" s="1"/>
  <c r="H655" i="6"/>
  <c r="F655" i="6" a="1"/>
  <c r="F655" i="6" s="1"/>
  <c r="I655" i="6" s="1"/>
  <c r="H654" i="6"/>
  <c r="F654" i="6" a="1"/>
  <c r="F654" i="6" s="1"/>
  <c r="I654" i="6" s="1"/>
  <c r="H653" i="6"/>
  <c r="F653" i="6" a="1"/>
  <c r="F653" i="6" s="1"/>
  <c r="I653" i="6" s="1"/>
  <c r="H649" i="6"/>
  <c r="F649" i="6" a="1"/>
  <c r="F649" i="6" s="1"/>
  <c r="I649" i="6" s="1"/>
  <c r="H647" i="6"/>
  <c r="F647" i="6" a="1"/>
  <c r="F647" i="6" s="1"/>
  <c r="I647" i="6" s="1"/>
  <c r="H639" i="6"/>
  <c r="F639" i="6" a="1"/>
  <c r="F639" i="6" s="1"/>
  <c r="I639" i="6" s="1"/>
  <c r="H637" i="6"/>
  <c r="F637" i="6" a="1"/>
  <c r="F637" i="6" s="1"/>
  <c r="I637" i="6" s="1"/>
  <c r="H636" i="6"/>
  <c r="F636" i="6" a="1"/>
  <c r="F636" i="6" s="1"/>
  <c r="I636" i="6" s="1"/>
  <c r="H635" i="6"/>
  <c r="F635" i="6" a="1"/>
  <c r="F635" i="6" s="1"/>
  <c r="I635" i="6" s="1"/>
  <c r="H634" i="6"/>
  <c r="F634" i="6" a="1"/>
  <c r="F634" i="6" s="1"/>
  <c r="I634" i="6" s="1"/>
  <c r="H598" i="6"/>
  <c r="F598" i="6" a="1"/>
  <c r="F598" i="6" s="1"/>
  <c r="I598" i="6" s="1"/>
  <c r="H594" i="6"/>
  <c r="F594" i="6" a="1"/>
  <c r="F594" i="6" s="1"/>
  <c r="I594" i="6" s="1"/>
  <c r="H554" i="6"/>
  <c r="F554" i="6" a="1"/>
  <c r="F554" i="6" s="1"/>
  <c r="I554" i="6" s="1"/>
  <c r="H531" i="6"/>
  <c r="F531" i="6" a="1"/>
  <c r="F531" i="6" s="1"/>
  <c r="I531" i="6" s="1"/>
  <c r="H508" i="6"/>
  <c r="F508" i="6" a="1"/>
  <c r="F508" i="6" s="1"/>
  <c r="I508" i="6" s="1"/>
  <c r="H500" i="6"/>
  <c r="F500" i="6" a="1"/>
  <c r="F500" i="6" s="1"/>
  <c r="I500" i="6" s="1"/>
  <c r="H469" i="6"/>
  <c r="F469" i="6" a="1"/>
  <c r="F469" i="6" s="1"/>
  <c r="I469" i="6" s="1"/>
  <c r="H387" i="6"/>
  <c r="F387" i="6" a="1"/>
  <c r="F387" i="6" s="1"/>
  <c r="I387" i="6" s="1"/>
  <c r="H380" i="6"/>
  <c r="F380" i="6" a="1"/>
  <c r="F380" i="6" s="1"/>
  <c r="I380" i="6" s="1"/>
  <c r="H290" i="6"/>
  <c r="F290" i="6" a="1"/>
  <c r="F290" i="6" s="1"/>
  <c r="I290" i="6" s="1"/>
  <c r="H287" i="6"/>
  <c r="F287" i="6" a="1"/>
  <c r="F287" i="6" s="1"/>
  <c r="I287" i="6" s="1"/>
  <c r="E30" i="7"/>
  <c r="E29" i="7"/>
  <c r="E28" i="7"/>
  <c r="E27" i="7"/>
  <c r="E26" i="7"/>
  <c r="E25" i="7"/>
  <c r="E24" i="7"/>
  <c r="E23" i="7"/>
  <c r="E22" i="7"/>
  <c r="E21" i="7"/>
  <c r="E20" i="7"/>
  <c r="E19" i="7"/>
  <c r="D30" i="7"/>
  <c r="D29" i="7"/>
  <c r="D28" i="7"/>
  <c r="D27" i="7"/>
  <c r="D26" i="7"/>
  <c r="D25" i="7"/>
  <c r="D24" i="7"/>
  <c r="D23" i="7"/>
  <c r="D22" i="7"/>
  <c r="D21" i="7"/>
  <c r="D20" i="7"/>
  <c r="D19" i="7"/>
  <c r="C30" i="7"/>
  <c r="C29" i="7"/>
  <c r="C28" i="7"/>
  <c r="C27" i="7"/>
  <c r="C26" i="7"/>
  <c r="C25" i="7"/>
  <c r="C24" i="7"/>
  <c r="C23" i="7"/>
  <c r="C22" i="7"/>
  <c r="C21" i="7"/>
  <c r="C20" i="7"/>
  <c r="C19" i="7"/>
  <c r="B30" i="7"/>
  <c r="B29" i="7"/>
  <c r="B28" i="7"/>
  <c r="B27" i="7"/>
  <c r="B26" i="7"/>
  <c r="B25" i="7"/>
  <c r="B24" i="7"/>
  <c r="B23" i="7"/>
  <c r="B22" i="7"/>
  <c r="B21" i="7"/>
  <c r="B20" i="7"/>
  <c r="B19" i="7"/>
  <c r="J30" i="7"/>
  <c r="J29" i="7"/>
  <c r="J28" i="7"/>
  <c r="J27" i="7"/>
  <c r="J26" i="7"/>
  <c r="J25" i="7"/>
  <c r="J24" i="7"/>
  <c r="J23" i="7"/>
  <c r="J22" i="7"/>
  <c r="J21" i="7"/>
  <c r="J20" i="7"/>
  <c r="J19" i="7"/>
  <c r="I30" i="7"/>
  <c r="I29" i="7"/>
  <c r="I28" i="7"/>
  <c r="I27" i="7"/>
  <c r="I26" i="7"/>
  <c r="I25" i="7"/>
  <c r="I24" i="7"/>
  <c r="I23" i="7"/>
  <c r="I22" i="7"/>
  <c r="I21" i="7"/>
  <c r="I20" i="7"/>
  <c r="J14" i="7"/>
  <c r="J13" i="7"/>
  <c r="J12" i="7"/>
  <c r="J11" i="7"/>
  <c r="J10" i="7"/>
  <c r="J9" i="7"/>
  <c r="J8" i="7"/>
  <c r="J7" i="7"/>
  <c r="J6" i="7"/>
  <c r="J5" i="7"/>
  <c r="J4" i="7"/>
  <c r="J3" i="7"/>
  <c r="I14" i="7"/>
  <c r="I13" i="7"/>
  <c r="I12" i="7"/>
  <c r="I11" i="7"/>
  <c r="I10" i="7"/>
  <c r="I9" i="7"/>
  <c r="I8" i="7"/>
  <c r="I7" i="7"/>
  <c r="I6" i="7"/>
  <c r="I3" i="7"/>
  <c r="I19" i="7"/>
  <c r="L30" i="7"/>
  <c r="L29" i="7"/>
  <c r="L28" i="7"/>
  <c r="L27" i="7"/>
  <c r="L26" i="7"/>
  <c r="L25" i="7"/>
  <c r="L24" i="7"/>
  <c r="L23" i="7"/>
  <c r="L22" i="7"/>
  <c r="L21" i="7"/>
  <c r="L20" i="7"/>
  <c r="L19" i="7"/>
  <c r="K30" i="7"/>
  <c r="K29" i="7"/>
  <c r="K28" i="7"/>
  <c r="K27" i="7"/>
  <c r="K26" i="7"/>
  <c r="K25" i="7"/>
  <c r="K24" i="7"/>
  <c r="K23" i="7"/>
  <c r="K22" i="7"/>
  <c r="K21" i="7"/>
  <c r="K20" i="7"/>
  <c r="K19" i="7"/>
  <c r="L14" i="7"/>
  <c r="L13" i="7"/>
  <c r="L12" i="7"/>
  <c r="L10" i="7"/>
  <c r="L9" i="7"/>
  <c r="L8" i="7"/>
  <c r="L7" i="7"/>
  <c r="L6" i="7"/>
  <c r="L5" i="7"/>
  <c r="L4" i="7"/>
  <c r="L3" i="7"/>
  <c r="K14" i="7"/>
  <c r="K13" i="7"/>
  <c r="K12" i="7"/>
  <c r="K11" i="7"/>
  <c r="K10" i="7"/>
  <c r="K9" i="7"/>
  <c r="K8" i="7"/>
  <c r="K7" i="7"/>
  <c r="K6" i="7"/>
  <c r="K5" i="7"/>
  <c r="K4" i="7"/>
  <c r="K3" i="7"/>
  <c r="L11" i="7"/>
  <c r="E14" i="7"/>
  <c r="E13" i="7"/>
  <c r="E12" i="7"/>
  <c r="E11" i="7"/>
  <c r="E10" i="7"/>
  <c r="E9" i="7"/>
  <c r="E8" i="7"/>
  <c r="E7" i="7"/>
  <c r="E6" i="7"/>
  <c r="E5" i="7"/>
  <c r="E4" i="7"/>
  <c r="E3" i="7"/>
  <c r="D14" i="7"/>
  <c r="D13" i="7"/>
  <c r="D12" i="7"/>
  <c r="D11" i="7"/>
  <c r="D10" i="7"/>
  <c r="D9" i="7"/>
  <c r="D8" i="7"/>
  <c r="D7" i="7"/>
  <c r="D6" i="7"/>
  <c r="D5" i="7"/>
  <c r="D4" i="7"/>
  <c r="D3" i="7"/>
  <c r="C14" i="7"/>
  <c r="C13" i="7"/>
  <c r="C12" i="7"/>
  <c r="C11" i="7"/>
  <c r="C10" i="7"/>
  <c r="C9" i="7"/>
  <c r="C8" i="7"/>
  <c r="C7" i="7"/>
  <c r="C6" i="7"/>
  <c r="C5" i="7"/>
  <c r="C4" i="7"/>
  <c r="B14" i="7"/>
  <c r="B13" i="7"/>
  <c r="B12" i="7"/>
  <c r="B11" i="7"/>
  <c r="B10" i="7"/>
  <c r="B9" i="7"/>
  <c r="B8" i="7"/>
  <c r="B7" i="7"/>
  <c r="B6" i="7"/>
  <c r="B5" i="7"/>
  <c r="B4" i="7"/>
  <c r="C3" i="7"/>
  <c r="B3" i="7"/>
  <c r="F182" i="6" a="1"/>
  <c r="F182" i="6" s="1"/>
  <c r="I182" i="6" s="1"/>
  <c r="F183" i="6" a="1"/>
  <c r="F183" i="6" s="1"/>
  <c r="I183" i="6" s="1"/>
  <c r="F184" i="6" a="1"/>
  <c r="F184" i="6" s="1"/>
  <c r="I184" i="6" s="1"/>
  <c r="F185" i="6" a="1"/>
  <c r="F185" i="6" s="1"/>
  <c r="I185" i="6" s="1"/>
  <c r="F186" i="6" a="1"/>
  <c r="F186" i="6" s="1"/>
  <c r="I186" i="6" s="1"/>
  <c r="F187" i="6" a="1"/>
  <c r="F187" i="6" s="1"/>
  <c r="I187" i="6" s="1"/>
  <c r="F188" i="6" a="1"/>
  <c r="F188" i="6" s="1"/>
  <c r="I188" i="6" s="1"/>
  <c r="F189" i="6" a="1"/>
  <c r="F189" i="6" s="1"/>
  <c r="I189" i="6" s="1"/>
  <c r="F190" i="6" a="1"/>
  <c r="F190" i="6" s="1"/>
  <c r="I190" i="6" s="1"/>
  <c r="F191" i="6" a="1"/>
  <c r="F191" i="6" s="1"/>
  <c r="I191" i="6" s="1"/>
  <c r="F192" i="6" a="1"/>
  <c r="F192" i="6" s="1"/>
  <c r="I192" i="6" s="1"/>
  <c r="F193" i="6" a="1"/>
  <c r="F193" i="6" s="1"/>
  <c r="I193" i="6" s="1"/>
  <c r="F194" i="6" a="1"/>
  <c r="F194" i="6" s="1"/>
  <c r="I194" i="6" s="1"/>
  <c r="F195" i="6" a="1"/>
  <c r="F195" i="6" s="1"/>
  <c r="I195" i="6" s="1"/>
  <c r="F196" i="6" a="1"/>
  <c r="F196" i="6" s="1"/>
  <c r="I196" i="6" s="1"/>
  <c r="F197" i="6" a="1"/>
  <c r="F197" i="6" s="1"/>
  <c r="I197" i="6" s="1"/>
  <c r="F198" i="6" a="1"/>
  <c r="F198" i="6" s="1"/>
  <c r="I198" i="6" s="1"/>
  <c r="F200" i="6" a="1"/>
  <c r="F200" i="6" s="1"/>
  <c r="I200" i="6" s="1"/>
  <c r="F201" i="6" a="1"/>
  <c r="F201" i="6" s="1"/>
  <c r="I201" i="6" s="1"/>
  <c r="F216" i="6" a="1"/>
  <c r="F216" i="6" s="1"/>
  <c r="I216" i="6" s="1"/>
  <c r="F215" i="6" a="1"/>
  <c r="F215" i="6" s="1"/>
  <c r="I215" i="6" s="1"/>
  <c r="F214" i="6" a="1"/>
  <c r="F214" i="6" s="1"/>
  <c r="I214" i="6" s="1"/>
  <c r="F212" i="6" a="1"/>
  <c r="F212" i="6" s="1"/>
  <c r="I212" i="6" s="1"/>
  <c r="F211" i="6" a="1"/>
  <c r="F211" i="6" s="1"/>
  <c r="I211" i="6" s="1"/>
  <c r="F210" i="6" a="1"/>
  <c r="F210" i="6" s="1"/>
  <c r="I210" i="6" s="1"/>
  <c r="F209" i="6" a="1"/>
  <c r="F209" i="6" s="1"/>
  <c r="I209" i="6" s="1"/>
  <c r="F208" i="6" a="1"/>
  <c r="F208" i="6" s="1"/>
  <c r="I208" i="6" s="1"/>
  <c r="F207" i="6" a="1"/>
  <c r="F207" i="6" s="1"/>
  <c r="I207" i="6" s="1"/>
  <c r="F206" i="6" a="1"/>
  <c r="F206" i="6" s="1"/>
  <c r="I206" i="6" s="1"/>
  <c r="F205" i="6" a="1"/>
  <c r="F205" i="6" s="1"/>
  <c r="I205" i="6" s="1"/>
  <c r="F204" i="6" a="1"/>
  <c r="F204" i="6" s="1"/>
  <c r="I204" i="6" s="1"/>
  <c r="F203" i="6" a="1"/>
  <c r="F203" i="6" s="1"/>
  <c r="I203" i="6" s="1"/>
  <c r="F202" i="6" a="1"/>
  <c r="F202" i="6" s="1"/>
  <c r="I202" i="6" s="1"/>
  <c r="F218" i="6" a="1"/>
  <c r="F218" i="6" s="1"/>
  <c r="I218" i="6" s="1"/>
  <c r="F222" i="6" a="1"/>
  <c r="F222" i="6" s="1"/>
  <c r="I222" i="6" s="1"/>
  <c r="F227" i="6" a="1"/>
  <c r="F227" i="6" s="1"/>
  <c r="F228" i="6" a="1"/>
  <c r="F228" i="6" s="1"/>
  <c r="F229" i="6" a="1"/>
  <c r="F229" i="6" s="1"/>
  <c r="F230" i="6" a="1"/>
  <c r="F230" i="6" s="1"/>
  <c r="F231" i="6" a="1"/>
  <c r="F231" i="6" s="1"/>
  <c r="F232" i="6" a="1"/>
  <c r="F232" i="6" s="1"/>
  <c r="F239" i="6" a="1"/>
  <c r="F239" i="6" s="1"/>
  <c r="I239" i="6" s="1"/>
  <c r="H242" i="6"/>
  <c r="H239" i="6"/>
  <c r="H232" i="6"/>
  <c r="H231" i="6"/>
  <c r="H230" i="6"/>
  <c r="H229" i="6"/>
  <c r="H228" i="6"/>
  <c r="H227" i="6"/>
  <c r="H222" i="6"/>
  <c r="H218" i="6"/>
  <c r="H216" i="6"/>
  <c r="H215" i="6"/>
  <c r="H214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F242" i="6" a="1"/>
  <c r="F242" i="6" s="1"/>
  <c r="I242" i="6" s="1"/>
  <c r="H174" i="6"/>
  <c r="H177" i="6"/>
  <c r="F63" i="8" l="1"/>
  <c r="F63" i="7"/>
  <c r="F47" i="7"/>
  <c r="M47" i="7"/>
  <c r="M47" i="8"/>
  <c r="F47" i="8"/>
  <c r="M3" i="8"/>
  <c r="F28" i="8"/>
  <c r="F29" i="8"/>
  <c r="C31" i="8"/>
  <c r="I15" i="8"/>
  <c r="M29" i="8"/>
  <c r="F30" i="8"/>
  <c r="C15" i="8"/>
  <c r="D15" i="8"/>
  <c r="E15" i="8"/>
  <c r="F27" i="8"/>
  <c r="M30" i="8"/>
  <c r="K31" i="8"/>
  <c r="F12" i="8"/>
  <c r="F13" i="8"/>
  <c r="F14" i="8"/>
  <c r="M28" i="8"/>
  <c r="M21" i="8"/>
  <c r="M24" i="8"/>
  <c r="F26" i="8"/>
  <c r="L15" i="8"/>
  <c r="F7" i="8"/>
  <c r="F20" i="8"/>
  <c r="F21" i="8"/>
  <c r="F6" i="8"/>
  <c r="F22" i="8"/>
  <c r="F23" i="8"/>
  <c r="F24" i="8"/>
  <c r="F25" i="8"/>
  <c r="E31" i="8"/>
  <c r="M25" i="8"/>
  <c r="J31" i="8"/>
  <c r="K15" i="8"/>
  <c r="M20" i="8"/>
  <c r="M22" i="8"/>
  <c r="M23" i="8"/>
  <c r="M26" i="8"/>
  <c r="M27" i="8"/>
  <c r="F8" i="8"/>
  <c r="F10" i="8"/>
  <c r="F11" i="8"/>
  <c r="F19" i="8"/>
  <c r="B31" i="8"/>
  <c r="L31" i="8"/>
  <c r="F9" i="8"/>
  <c r="M6" i="8"/>
  <c r="M7" i="8"/>
  <c r="M8" i="8"/>
  <c r="M9" i="8"/>
  <c r="M10" i="8"/>
  <c r="M11" i="8"/>
  <c r="M12" i="8"/>
  <c r="M13" i="8"/>
  <c r="M14" i="8"/>
  <c r="M19" i="8"/>
  <c r="Q20" i="5"/>
  <c r="F5" i="8"/>
  <c r="Q10" i="5"/>
  <c r="Q4" i="5"/>
  <c r="Q36" i="5"/>
  <c r="Q28" i="5"/>
  <c r="F4" i="8"/>
  <c r="M4" i="8"/>
  <c r="M5" i="8"/>
  <c r="F3" i="8"/>
  <c r="J15" i="8"/>
  <c r="D31" i="8"/>
  <c r="B15" i="8"/>
  <c r="I31" i="8"/>
  <c r="C15" i="7"/>
  <c r="E15" i="7"/>
  <c r="L31" i="7"/>
  <c r="J31" i="7"/>
  <c r="C31" i="7"/>
  <c r="E31" i="7"/>
  <c r="B15" i="7"/>
  <c r="D15" i="7"/>
  <c r="K31" i="7"/>
  <c r="I31" i="7"/>
  <c r="B31" i="7"/>
  <c r="D31" i="7"/>
  <c r="K15" i="7"/>
  <c r="I15" i="7"/>
  <c r="L15" i="7"/>
  <c r="J15" i="7"/>
  <c r="F4" i="7"/>
  <c r="F12" i="7"/>
  <c r="F11" i="7"/>
  <c r="F9" i="7"/>
  <c r="F13" i="7"/>
  <c r="F5" i="7"/>
  <c r="F6" i="7"/>
  <c r="F14" i="7"/>
  <c r="F7" i="7"/>
  <c r="F8" i="7"/>
  <c r="F3" i="7"/>
  <c r="F10" i="7"/>
  <c r="F30" i="7"/>
  <c r="F29" i="7"/>
  <c r="F28" i="7"/>
  <c r="F27" i="7"/>
  <c r="F26" i="7"/>
  <c r="F25" i="7"/>
  <c r="F24" i="7"/>
  <c r="F23" i="7"/>
  <c r="F22" i="7"/>
  <c r="F21" i="7"/>
  <c r="F20" i="7"/>
  <c r="F19" i="7"/>
  <c r="M30" i="7"/>
  <c r="M29" i="7"/>
  <c r="M28" i="7"/>
  <c r="M27" i="7"/>
  <c r="M26" i="7"/>
  <c r="M25" i="7"/>
  <c r="M24" i="7"/>
  <c r="M23" i="7"/>
  <c r="M22" i="7"/>
  <c r="M21" i="7"/>
  <c r="M20" i="7"/>
  <c r="M19" i="7"/>
  <c r="M14" i="7"/>
  <c r="M13" i="7"/>
  <c r="M12" i="7"/>
  <c r="M11" i="7"/>
  <c r="M10" i="7"/>
  <c r="M8" i="7"/>
  <c r="M7" i="7"/>
  <c r="M6" i="7"/>
  <c r="N6" i="7" s="1"/>
  <c r="M5" i="7"/>
  <c r="M4" i="7"/>
  <c r="M3" i="7"/>
  <c r="M9" i="7"/>
  <c r="N8" i="7" l="1"/>
  <c r="N10" i="8"/>
  <c r="N7" i="7"/>
  <c r="N4" i="7"/>
  <c r="N5" i="7"/>
  <c r="N9" i="7"/>
  <c r="N3" i="7"/>
  <c r="N3" i="8"/>
  <c r="N4" i="8"/>
  <c r="N7" i="8"/>
  <c r="N6" i="8"/>
  <c r="N9" i="8"/>
  <c r="N5" i="8"/>
  <c r="N8" i="8"/>
  <c r="M15" i="8"/>
  <c r="F31" i="8"/>
  <c r="M31" i="8"/>
  <c r="F15" i="8"/>
  <c r="F33" i="8" s="1"/>
  <c r="F31" i="7"/>
  <c r="M31" i="7"/>
  <c r="M15" i="7"/>
  <c r="F15" i="7"/>
  <c r="M33" i="7" l="1"/>
  <c r="F49" i="8"/>
  <c r="M33" i="8"/>
  <c r="F49" i="7"/>
  <c r="M17" i="7"/>
  <c r="M1" i="7"/>
  <c r="F33" i="7"/>
  <c r="M17" i="8"/>
  <c r="F17" i="8"/>
  <c r="M1" i="8"/>
  <c r="F17" i="7"/>
  <c r="H149" i="6" l="1"/>
  <c r="H158" i="6"/>
  <c r="H166" i="6"/>
  <c r="H110" i="6"/>
  <c r="H63" i="6"/>
  <c r="H62" i="6"/>
  <c r="H14" i="5"/>
  <c r="H16" i="5"/>
  <c r="H20" i="5"/>
  <c r="H34" i="6"/>
  <c r="H128" i="5"/>
  <c r="F128" i="5" a="1"/>
  <c r="F128" i="5" s="1"/>
  <c r="I128" i="5" s="1"/>
  <c r="H127" i="5"/>
  <c r="F127" i="5" a="1"/>
  <c r="F127" i="5" s="1"/>
  <c r="I127" i="5" s="1"/>
  <c r="H116" i="5"/>
  <c r="F116" i="5" a="1"/>
  <c r="F116" i="5" s="1"/>
  <c r="I116" i="5" s="1"/>
  <c r="H115" i="5"/>
  <c r="F115" i="5" a="1"/>
  <c r="F115" i="5" s="1"/>
  <c r="I115" i="5" s="1"/>
  <c r="H114" i="5"/>
  <c r="F114" i="5" a="1"/>
  <c r="F114" i="5" s="1"/>
  <c r="I114" i="5" s="1"/>
  <c r="H113" i="5"/>
  <c r="F113" i="5" a="1"/>
  <c r="F113" i="5" s="1"/>
  <c r="I113" i="5" s="1"/>
  <c r="H108" i="5"/>
  <c r="F108" i="5" a="1"/>
  <c r="F108" i="5" s="1"/>
  <c r="I108" i="5" s="1"/>
  <c r="H107" i="5"/>
  <c r="F107" i="5" a="1"/>
  <c r="F107" i="5" s="1"/>
  <c r="I107" i="5" s="1"/>
  <c r="H102" i="5"/>
  <c r="F102" i="5" a="1"/>
  <c r="F102" i="5" s="1"/>
  <c r="I102" i="5" s="1"/>
  <c r="H98" i="5"/>
  <c r="F98" i="5" a="1"/>
  <c r="F98" i="5" s="1"/>
  <c r="I98" i="5" s="1"/>
  <c r="H96" i="5"/>
  <c r="F96" i="5" a="1"/>
  <c r="F96" i="5" s="1"/>
  <c r="I96" i="5" s="1"/>
  <c r="H71" i="5"/>
  <c r="F71" i="5" a="1"/>
  <c r="F71" i="5" s="1"/>
  <c r="I71" i="5" s="1"/>
  <c r="H69" i="5"/>
  <c r="F69" i="5" a="1"/>
  <c r="F69" i="5" s="1"/>
  <c r="I69" i="5" s="1"/>
  <c r="H68" i="5"/>
  <c r="F68" i="5" a="1"/>
  <c r="F68" i="5" s="1"/>
  <c r="I68" i="5" s="1"/>
  <c r="H67" i="5"/>
  <c r="F67" i="5" a="1"/>
  <c r="F67" i="5" s="1"/>
  <c r="I67" i="5" s="1"/>
  <c r="H59" i="5"/>
  <c r="F59" i="5" a="1"/>
  <c r="F59" i="5" s="1"/>
  <c r="I59" i="5" s="1"/>
  <c r="H58" i="5"/>
  <c r="F58" i="5" a="1"/>
  <c r="F58" i="5" s="1"/>
  <c r="I58" i="5" s="1"/>
  <c r="H57" i="5"/>
  <c r="F57" i="5" a="1"/>
  <c r="F57" i="5" s="1"/>
  <c r="I57" i="5" s="1"/>
  <c r="H56" i="5"/>
  <c r="F56" i="5" a="1"/>
  <c r="F56" i="5" s="1"/>
  <c r="I56" i="5" s="1"/>
  <c r="H55" i="5"/>
  <c r="F55" i="5" a="1"/>
  <c r="F55" i="5" s="1"/>
  <c r="I55" i="5" s="1"/>
  <c r="H54" i="5"/>
  <c r="F54" i="5" a="1"/>
  <c r="F54" i="5" s="1"/>
  <c r="I54" i="5" s="1"/>
  <c r="H53" i="5"/>
  <c r="F53" i="5" a="1"/>
  <c r="F53" i="5" s="1"/>
  <c r="I53" i="5" s="1"/>
  <c r="H51" i="5"/>
  <c r="F51" i="5" a="1"/>
  <c r="F51" i="5" s="1"/>
  <c r="I51" i="5" s="1"/>
  <c r="H30" i="5"/>
  <c r="F30" i="5" a="1"/>
  <c r="F30" i="5" s="1"/>
  <c r="I30" i="5" s="1"/>
  <c r="H29" i="5"/>
  <c r="F29" i="5" a="1"/>
  <c r="F29" i="5" s="1"/>
  <c r="I29" i="5" s="1"/>
  <c r="H23" i="5"/>
  <c r="F23" i="5" a="1"/>
  <c r="F23" i="5" s="1"/>
  <c r="I23" i="5" s="1"/>
  <c r="H12" i="5"/>
  <c r="F12" i="5" a="1"/>
  <c r="F12" i="5" s="1"/>
  <c r="I12" i="5" s="1"/>
  <c r="H13" i="5"/>
  <c r="F13" i="5" a="1"/>
  <c r="F13" i="5" s="1"/>
  <c r="I13" i="5" s="1"/>
  <c r="F14" i="5" a="1"/>
  <c r="F14" i="5" s="1"/>
  <c r="I14" i="5" s="1"/>
  <c r="F16" i="5" a="1"/>
  <c r="F16" i="5" s="1"/>
  <c r="I16" i="5" s="1"/>
  <c r="H17" i="5"/>
  <c r="F17" i="5" a="1"/>
  <c r="F17" i="5" s="1"/>
  <c r="I17" i="5" s="1"/>
  <c r="F20" i="5" a="1"/>
  <c r="F20" i="5" s="1"/>
  <c r="I20" i="5" s="1"/>
  <c r="H21" i="5"/>
  <c r="F21" i="5" a="1"/>
  <c r="F21" i="5" s="1"/>
  <c r="I21" i="5" s="1"/>
  <c r="H27" i="5"/>
  <c r="F27" i="5" a="1"/>
  <c r="F27" i="5" s="1"/>
  <c r="I27" i="5" s="1"/>
  <c r="H31" i="5"/>
  <c r="F31" i="5" a="1"/>
  <c r="F31" i="5" s="1"/>
  <c r="I31" i="5" s="1"/>
  <c r="H32" i="5"/>
  <c r="F32" i="5" a="1"/>
  <c r="F32" i="5" s="1"/>
  <c r="I32" i="5" s="1"/>
  <c r="H33" i="5"/>
  <c r="F33" i="5" a="1"/>
  <c r="F33" i="5" s="1"/>
  <c r="I33" i="5" s="1"/>
  <c r="H34" i="5"/>
  <c r="F34" i="5" a="1"/>
  <c r="F34" i="5" s="1"/>
  <c r="I34" i="5" s="1"/>
  <c r="H36" i="5"/>
  <c r="F36" i="5" a="1"/>
  <c r="F36" i="5" s="1"/>
  <c r="I36" i="5" s="1"/>
  <c r="H41" i="5"/>
  <c r="F41" i="5" a="1"/>
  <c r="F41" i="5" s="1"/>
  <c r="I41" i="5" s="1"/>
  <c r="H42" i="5"/>
  <c r="F42" i="5" a="1"/>
  <c r="F42" i="5" s="1"/>
  <c r="I42" i="5" s="1"/>
  <c r="H43" i="5"/>
  <c r="F43" i="5" a="1"/>
  <c r="F43" i="5" s="1"/>
  <c r="I43" i="5" s="1"/>
  <c r="H44" i="5"/>
  <c r="F44" i="5" a="1"/>
  <c r="F44" i="5" s="1"/>
  <c r="I44" i="5" s="1"/>
  <c r="H45" i="5"/>
  <c r="F45" i="5" a="1"/>
  <c r="F45" i="5" s="1"/>
  <c r="I45" i="5" s="1"/>
  <c r="H61" i="5"/>
  <c r="F61" i="5" a="1"/>
  <c r="F61" i="5" s="1"/>
  <c r="I61" i="5" s="1"/>
  <c r="H62" i="5"/>
  <c r="F62" i="5" a="1"/>
  <c r="F62" i="5" s="1"/>
  <c r="I62" i="5" s="1"/>
  <c r="H63" i="5"/>
  <c r="F63" i="5" a="1"/>
  <c r="F63" i="5" s="1"/>
  <c r="I63" i="5" s="1"/>
  <c r="H64" i="5"/>
  <c r="F64" i="5" a="1"/>
  <c r="F64" i="5" s="1"/>
  <c r="I64" i="5" s="1"/>
  <c r="H65" i="5"/>
  <c r="F65" i="5" a="1"/>
  <c r="F65" i="5" s="1"/>
  <c r="I65" i="5" s="1"/>
  <c r="H70" i="5"/>
  <c r="F70" i="5" a="1"/>
  <c r="F70" i="5" s="1"/>
  <c r="I70" i="5" s="1"/>
  <c r="H72" i="5"/>
  <c r="F72" i="5" a="1"/>
  <c r="F72" i="5" s="1"/>
  <c r="I72" i="5" s="1"/>
  <c r="H73" i="5"/>
  <c r="F73" i="5" a="1"/>
  <c r="F73" i="5" s="1"/>
  <c r="I73" i="5" s="1"/>
  <c r="H74" i="5"/>
  <c r="F74" i="5" a="1"/>
  <c r="F74" i="5" s="1"/>
  <c r="I74" i="5" s="1"/>
  <c r="H76" i="5"/>
  <c r="F76" i="5" a="1"/>
  <c r="F76" i="5" s="1"/>
  <c r="I76" i="5" s="1"/>
  <c r="H78" i="5"/>
  <c r="F78" i="5" a="1"/>
  <c r="F78" i="5" s="1"/>
  <c r="I78" i="5" s="1"/>
  <c r="H82" i="5"/>
  <c r="F82" i="5" a="1"/>
  <c r="F82" i="5" s="1"/>
  <c r="I82" i="5" s="1"/>
  <c r="H83" i="5"/>
  <c r="F83" i="5" a="1"/>
  <c r="F83" i="5" s="1"/>
  <c r="I83" i="5" s="1"/>
  <c r="H85" i="5"/>
  <c r="F85" i="5" a="1"/>
  <c r="F85" i="5" s="1"/>
  <c r="I85" i="5" s="1"/>
  <c r="H86" i="5"/>
  <c r="F86" i="5" a="1"/>
  <c r="F86" i="5" s="1"/>
  <c r="I86" i="5" s="1"/>
  <c r="H92" i="5"/>
  <c r="F92" i="5" a="1"/>
  <c r="F92" i="5" s="1"/>
  <c r="I92" i="5" s="1"/>
  <c r="H93" i="5"/>
  <c r="F93" i="5" a="1"/>
  <c r="F93" i="5" s="1"/>
  <c r="I93" i="5" s="1"/>
  <c r="H94" i="5"/>
  <c r="F94" i="5" a="1"/>
  <c r="F94" i="5" s="1"/>
  <c r="I94" i="5" s="1"/>
  <c r="H101" i="5"/>
  <c r="F101" i="5" a="1"/>
  <c r="F101" i="5" s="1"/>
  <c r="I101" i="5" s="1"/>
  <c r="H103" i="5"/>
  <c r="F103" i="5" a="1"/>
  <c r="F103" i="5" s="1"/>
  <c r="I103" i="5" s="1"/>
  <c r="H104" i="5"/>
  <c r="F104" i="5" a="1"/>
  <c r="F104" i="5" s="1"/>
  <c r="I104" i="5" s="1"/>
  <c r="H110" i="5"/>
  <c r="F110" i="5" a="1"/>
  <c r="F110" i="5" s="1"/>
  <c r="I110" i="5" s="1"/>
  <c r="H117" i="5"/>
  <c r="F117" i="5" a="1"/>
  <c r="F117" i="5" s="1"/>
  <c r="I117" i="5" s="1"/>
  <c r="H52" i="5"/>
  <c r="F52" i="5" a="1"/>
  <c r="F52" i="5" s="1"/>
  <c r="I52" i="5" s="1"/>
  <c r="H28" i="5"/>
  <c r="F28" i="5" a="1"/>
  <c r="F28" i="5" s="1"/>
  <c r="I28" i="5" s="1"/>
  <c r="H40" i="5"/>
  <c r="F40" i="5" a="1"/>
  <c r="F40" i="5" s="1"/>
  <c r="I40" i="5" s="1"/>
  <c r="H47" i="5"/>
  <c r="F47" i="5" a="1"/>
  <c r="F47" i="5" s="1"/>
  <c r="I47" i="5" s="1"/>
  <c r="H66" i="5"/>
  <c r="F66" i="5" a="1"/>
  <c r="F66" i="5" s="1"/>
  <c r="I66" i="5" s="1"/>
  <c r="H88" i="5"/>
  <c r="F88" i="5" a="1"/>
  <c r="F88" i="5" s="1"/>
  <c r="I88" i="5" s="1"/>
  <c r="H89" i="5"/>
  <c r="F89" i="5" a="1"/>
  <c r="F89" i="5" s="1"/>
  <c r="I89" i="5" s="1"/>
  <c r="H90" i="5"/>
  <c r="F90" i="5" a="1"/>
  <c r="F90" i="5" s="1"/>
  <c r="I90" i="5" s="1"/>
  <c r="H97" i="5"/>
  <c r="F97" i="5" a="1"/>
  <c r="F97" i="5" s="1"/>
  <c r="I97" i="5" s="1"/>
  <c r="H100" i="5"/>
  <c r="F100" i="5" a="1"/>
  <c r="F100" i="5" s="1"/>
  <c r="I100" i="5" s="1"/>
  <c r="H125" i="5"/>
  <c r="F125" i="5" a="1"/>
  <c r="F125" i="5" s="1"/>
  <c r="I125" i="5" s="1"/>
  <c r="H120" i="5"/>
  <c r="F120" i="5" a="1"/>
  <c r="F120" i="5" s="1"/>
  <c r="I120" i="5" s="1"/>
  <c r="H126" i="5"/>
  <c r="F126" i="5" a="1"/>
  <c r="F126" i="5" s="1"/>
  <c r="I126" i="5" s="1"/>
  <c r="H124" i="5"/>
  <c r="F124" i="5" a="1"/>
  <c r="F124" i="5" s="1"/>
  <c r="I124" i="5" s="1"/>
  <c r="H106" i="5"/>
  <c r="F106" i="5" a="1"/>
  <c r="F106" i="5" s="1"/>
  <c r="I106" i="5" s="1"/>
  <c r="H91" i="5"/>
  <c r="F91" i="5" a="1"/>
  <c r="F91" i="5" s="1"/>
  <c r="I91" i="5" s="1"/>
  <c r="H60" i="5"/>
  <c r="F60" i="5" a="1"/>
  <c r="F60" i="5" s="1"/>
  <c r="I60" i="5" s="1"/>
  <c r="H49" i="5"/>
  <c r="F49" i="5" a="1"/>
  <c r="F49" i="5" s="1"/>
  <c r="I49" i="5" s="1"/>
  <c r="H24" i="5"/>
  <c r="F24" i="5" a="1"/>
  <c r="F24" i="5" s="1"/>
  <c r="I24" i="5" s="1"/>
  <c r="H18" i="5"/>
  <c r="F18" i="5" a="1"/>
  <c r="F18" i="5" s="1"/>
  <c r="I18" i="5" s="1"/>
  <c r="H173" i="6"/>
  <c r="F173" i="6" a="1"/>
  <c r="F173" i="6" s="1"/>
  <c r="I173" i="6" s="1"/>
  <c r="F174" i="6" a="1"/>
  <c r="F174" i="6" s="1"/>
  <c r="I174" i="6" s="1"/>
  <c r="H175" i="6"/>
  <c r="F175" i="6" a="1"/>
  <c r="F175" i="6" s="1"/>
  <c r="I175" i="6" s="1"/>
  <c r="H176" i="6"/>
  <c r="F176" i="6" a="1"/>
  <c r="F176" i="6" s="1"/>
  <c r="I176" i="6" s="1"/>
  <c r="F177" i="6" a="1"/>
  <c r="F177" i="6" s="1"/>
  <c r="I177" i="6" s="1"/>
  <c r="H178" i="6"/>
  <c r="F178" i="6" a="1"/>
  <c r="F178" i="6" s="1"/>
  <c r="I178" i="6" s="1"/>
  <c r="H179" i="6"/>
  <c r="F179" i="6" a="1"/>
  <c r="F179" i="6" s="1"/>
  <c r="I179" i="6" s="1"/>
  <c r="H180" i="6"/>
  <c r="F180" i="6" a="1"/>
  <c r="F180" i="6" s="1"/>
  <c r="I180" i="6" s="1"/>
  <c r="H181" i="6"/>
  <c r="F181" i="6" a="1"/>
  <c r="F181" i="6" s="1"/>
  <c r="I181" i="6" s="1"/>
  <c r="H114" i="6"/>
  <c r="F114" i="6" a="1"/>
  <c r="F114" i="6" s="1"/>
  <c r="I114" i="6" s="1"/>
  <c r="H115" i="6"/>
  <c r="F115" i="6" a="1"/>
  <c r="F115" i="6" s="1"/>
  <c r="I115" i="6" s="1"/>
  <c r="H116" i="6"/>
  <c r="F116" i="6" a="1"/>
  <c r="F116" i="6" s="1"/>
  <c r="I116" i="6" s="1"/>
  <c r="H118" i="6"/>
  <c r="F118" i="6" a="1"/>
  <c r="F118" i="6" s="1"/>
  <c r="I118" i="6" s="1"/>
  <c r="H119" i="6"/>
  <c r="F119" i="6" a="1"/>
  <c r="F119" i="6" s="1"/>
  <c r="I119" i="6" s="1"/>
  <c r="H120" i="6"/>
  <c r="F120" i="6" a="1"/>
  <c r="F120" i="6" s="1"/>
  <c r="I120" i="6" s="1"/>
  <c r="H121" i="6"/>
  <c r="F121" i="6" a="1"/>
  <c r="F121" i="6" s="1"/>
  <c r="I121" i="6" s="1"/>
  <c r="H123" i="6"/>
  <c r="F123" i="6" a="1"/>
  <c r="F123" i="6" s="1"/>
  <c r="I123" i="6" s="1"/>
  <c r="H133" i="6"/>
  <c r="F133" i="6" a="1"/>
  <c r="F133" i="6" s="1"/>
  <c r="I133" i="6" s="1"/>
  <c r="H140" i="6"/>
  <c r="F140" i="6" a="1"/>
  <c r="F140" i="6" s="1"/>
  <c r="I140" i="6" s="1"/>
  <c r="H141" i="6"/>
  <c r="F141" i="6" a="1"/>
  <c r="F141" i="6" s="1"/>
  <c r="I141" i="6" s="1"/>
  <c r="H142" i="6"/>
  <c r="F142" i="6" a="1"/>
  <c r="F142" i="6" s="1"/>
  <c r="I142" i="6" s="1"/>
  <c r="H143" i="6"/>
  <c r="F143" i="6" a="1"/>
  <c r="F143" i="6" s="1"/>
  <c r="I143" i="6" s="1"/>
  <c r="H144" i="6"/>
  <c r="F144" i="6" a="1"/>
  <c r="F144" i="6" s="1"/>
  <c r="I144" i="6" s="1"/>
  <c r="H146" i="6"/>
  <c r="F146" i="6" a="1"/>
  <c r="F146" i="6" s="1"/>
  <c r="I146" i="6" s="1"/>
  <c r="H147" i="6"/>
  <c r="F147" i="6" a="1"/>
  <c r="F147" i="6" s="1"/>
  <c r="I147" i="6" s="1"/>
  <c r="H148" i="6"/>
  <c r="F148" i="6" a="1"/>
  <c r="F148" i="6" s="1"/>
  <c r="I148" i="6" s="1"/>
  <c r="F149" i="6" a="1"/>
  <c r="F149" i="6" s="1"/>
  <c r="I149" i="6" s="1"/>
  <c r="H150" i="6"/>
  <c r="F150" i="6" a="1"/>
  <c r="F150" i="6" s="1"/>
  <c r="I150" i="6" s="1"/>
  <c r="H151" i="6"/>
  <c r="F151" i="6" a="1"/>
  <c r="F151" i="6" s="1"/>
  <c r="I151" i="6" s="1"/>
  <c r="H152" i="6"/>
  <c r="F152" i="6" a="1"/>
  <c r="F152" i="6" s="1"/>
  <c r="I152" i="6" s="1"/>
  <c r="H153" i="6"/>
  <c r="F153" i="6" a="1"/>
  <c r="F153" i="6" s="1"/>
  <c r="I153" i="6" s="1"/>
  <c r="H154" i="6"/>
  <c r="F154" i="6" a="1"/>
  <c r="F154" i="6" s="1"/>
  <c r="I154" i="6" s="1"/>
  <c r="H155" i="6"/>
  <c r="F155" i="6" a="1"/>
  <c r="F155" i="6" s="1"/>
  <c r="I155" i="6" s="1"/>
  <c r="H156" i="6"/>
  <c r="F156" i="6" a="1"/>
  <c r="F156" i="6" s="1"/>
  <c r="I156" i="6" s="1"/>
  <c r="H157" i="6"/>
  <c r="F157" i="6" a="1"/>
  <c r="F157" i="6" s="1"/>
  <c r="I157" i="6" s="1"/>
  <c r="F158" i="6" a="1"/>
  <c r="F158" i="6" s="1"/>
  <c r="I158" i="6" s="1"/>
  <c r="H159" i="6"/>
  <c r="F159" i="6" a="1"/>
  <c r="F159" i="6" s="1"/>
  <c r="I159" i="6" s="1"/>
  <c r="H160" i="6"/>
  <c r="F160" i="6" a="1"/>
  <c r="F160" i="6" s="1"/>
  <c r="I160" i="6" s="1"/>
  <c r="H161" i="6"/>
  <c r="F161" i="6" a="1"/>
  <c r="F161" i="6" s="1"/>
  <c r="I161" i="6" s="1"/>
  <c r="H162" i="6"/>
  <c r="F162" i="6" a="1"/>
  <c r="F162" i="6" s="1"/>
  <c r="I162" i="6" s="1"/>
  <c r="H163" i="6"/>
  <c r="F163" i="6" a="1"/>
  <c r="F163" i="6" s="1"/>
  <c r="I163" i="6" s="1"/>
  <c r="H164" i="6"/>
  <c r="F164" i="6" a="1"/>
  <c r="F164" i="6" s="1"/>
  <c r="I164" i="6" s="1"/>
  <c r="H165" i="6"/>
  <c r="F165" i="6" a="1"/>
  <c r="F165" i="6" s="1"/>
  <c r="I165" i="6" s="1"/>
  <c r="F166" i="6" a="1"/>
  <c r="F166" i="6" s="1"/>
  <c r="I166" i="6" s="1"/>
  <c r="H167" i="6"/>
  <c r="F167" i="6" a="1"/>
  <c r="F167" i="6" s="1"/>
  <c r="I167" i="6" s="1"/>
  <c r="H168" i="6"/>
  <c r="F168" i="6" a="1"/>
  <c r="F168" i="6" s="1"/>
  <c r="I168" i="6" s="1"/>
  <c r="H169" i="6"/>
  <c r="F169" i="6" a="1"/>
  <c r="F169" i="6" s="1"/>
  <c r="I169" i="6" s="1"/>
  <c r="H170" i="6"/>
  <c r="F170" i="6" a="1"/>
  <c r="F170" i="6" s="1"/>
  <c r="I170" i="6" s="1"/>
  <c r="H171" i="6"/>
  <c r="F171" i="6" a="1"/>
  <c r="F171" i="6" s="1"/>
  <c r="I171" i="6" s="1"/>
  <c r="H172" i="6"/>
  <c r="F172" i="6" a="1"/>
  <c r="F172" i="6" s="1"/>
  <c r="I172" i="6" s="1"/>
  <c r="H78" i="6"/>
  <c r="F78" i="6" a="1"/>
  <c r="F78" i="6" s="1"/>
  <c r="I78" i="6" s="1"/>
  <c r="H79" i="6"/>
  <c r="F79" i="6" a="1"/>
  <c r="F79" i="6" s="1"/>
  <c r="I79" i="6" s="1"/>
  <c r="H80" i="6"/>
  <c r="F80" i="6" a="1"/>
  <c r="F80" i="6" s="1"/>
  <c r="I80" i="6" s="1"/>
  <c r="H81" i="6"/>
  <c r="F81" i="6" a="1"/>
  <c r="F81" i="6" s="1"/>
  <c r="I81" i="6" s="1"/>
  <c r="H82" i="6"/>
  <c r="F82" i="6" a="1"/>
  <c r="F82" i="6" s="1"/>
  <c r="I82" i="6" s="1"/>
  <c r="H83" i="6"/>
  <c r="F83" i="6" a="1"/>
  <c r="F83" i="6" s="1"/>
  <c r="I83" i="6" s="1"/>
  <c r="H84" i="6"/>
  <c r="F84" i="6" a="1"/>
  <c r="F84" i="6" s="1"/>
  <c r="I84" i="6" s="1"/>
  <c r="H85" i="6"/>
  <c r="F85" i="6" a="1"/>
  <c r="F85" i="6" s="1"/>
  <c r="I85" i="6" s="1"/>
  <c r="H86" i="6"/>
  <c r="F86" i="6" a="1"/>
  <c r="F86" i="6" s="1"/>
  <c r="I86" i="6" s="1"/>
  <c r="H87" i="6"/>
  <c r="F87" i="6" a="1"/>
  <c r="F87" i="6" s="1"/>
  <c r="I87" i="6" s="1"/>
  <c r="H88" i="6"/>
  <c r="F88" i="6" a="1"/>
  <c r="F88" i="6" s="1"/>
  <c r="I88" i="6" s="1"/>
  <c r="H89" i="6"/>
  <c r="F89" i="6" a="1"/>
  <c r="F89" i="6" s="1"/>
  <c r="I89" i="6" s="1"/>
  <c r="H90" i="6"/>
  <c r="F90" i="6" a="1"/>
  <c r="F90" i="6" s="1"/>
  <c r="I90" i="6" s="1"/>
  <c r="H91" i="6"/>
  <c r="F91" i="6" a="1"/>
  <c r="F91" i="6" s="1"/>
  <c r="I91" i="6" s="1"/>
  <c r="H92" i="6"/>
  <c r="F92" i="6" a="1"/>
  <c r="F92" i="6" s="1"/>
  <c r="I92" i="6" s="1"/>
  <c r="H93" i="6"/>
  <c r="F93" i="6" a="1"/>
  <c r="F93" i="6" s="1"/>
  <c r="I93" i="6" s="1"/>
  <c r="H94" i="6"/>
  <c r="F94" i="6" a="1"/>
  <c r="F94" i="6" s="1"/>
  <c r="I94" i="6" s="1"/>
  <c r="H95" i="6"/>
  <c r="F95" i="6" a="1"/>
  <c r="F95" i="6" s="1"/>
  <c r="I95" i="6" s="1"/>
  <c r="H96" i="6"/>
  <c r="F96" i="6" a="1"/>
  <c r="F96" i="6" s="1"/>
  <c r="I96" i="6" s="1"/>
  <c r="H97" i="6"/>
  <c r="F97" i="6" a="1"/>
  <c r="F97" i="6" s="1"/>
  <c r="I97" i="6" s="1"/>
  <c r="H98" i="6"/>
  <c r="F98" i="6" a="1"/>
  <c r="F98" i="6" s="1"/>
  <c r="I98" i="6" s="1"/>
  <c r="H99" i="6"/>
  <c r="F99" i="6" a="1"/>
  <c r="F99" i="6" s="1"/>
  <c r="I99" i="6" s="1"/>
  <c r="H100" i="6"/>
  <c r="F100" i="6" a="1"/>
  <c r="F100" i="6" s="1"/>
  <c r="I100" i="6" s="1"/>
  <c r="H101" i="6"/>
  <c r="F101" i="6" a="1"/>
  <c r="F101" i="6" s="1"/>
  <c r="I101" i="6" s="1"/>
  <c r="H102" i="6"/>
  <c r="F102" i="6" a="1"/>
  <c r="F102" i="6" s="1"/>
  <c r="I102" i="6" s="1"/>
  <c r="H103" i="6"/>
  <c r="F103" i="6" a="1"/>
  <c r="F103" i="6" s="1"/>
  <c r="I103" i="6" s="1"/>
  <c r="H104" i="6"/>
  <c r="F104" i="6" a="1"/>
  <c r="F104" i="6" s="1"/>
  <c r="I104" i="6" s="1"/>
  <c r="H105" i="6"/>
  <c r="F105" i="6" a="1"/>
  <c r="F105" i="6" s="1"/>
  <c r="I105" i="6" s="1"/>
  <c r="H106" i="6"/>
  <c r="F106" i="6" a="1"/>
  <c r="F106" i="6" s="1"/>
  <c r="I106" i="6" s="1"/>
  <c r="H107" i="6"/>
  <c r="F107" i="6" a="1"/>
  <c r="F107" i="6" s="1"/>
  <c r="I107" i="6" s="1"/>
  <c r="H109" i="6"/>
  <c r="F109" i="6" a="1"/>
  <c r="F109" i="6" s="1"/>
  <c r="I109" i="6" s="1"/>
  <c r="F110" i="6" a="1"/>
  <c r="F110" i="6" s="1"/>
  <c r="I110" i="6" s="1"/>
  <c r="H117" i="6"/>
  <c r="F117" i="6" a="1"/>
  <c r="F117" i="6" s="1"/>
  <c r="I117" i="6" s="1"/>
  <c r="H122" i="6"/>
  <c r="F122" i="6" a="1"/>
  <c r="F122" i="6" s="1"/>
  <c r="I122" i="6" s="1"/>
  <c r="H124" i="6"/>
  <c r="F124" i="6" a="1"/>
  <c r="F124" i="6" s="1"/>
  <c r="I124" i="6" s="1"/>
  <c r="H125" i="6"/>
  <c r="F125" i="6" a="1"/>
  <c r="F125" i="6" s="1"/>
  <c r="I125" i="6" s="1"/>
  <c r="H126" i="6"/>
  <c r="F126" i="6" a="1"/>
  <c r="F126" i="6" s="1"/>
  <c r="I126" i="6" s="1"/>
  <c r="H127" i="6"/>
  <c r="F127" i="6" a="1"/>
  <c r="F127" i="6" s="1"/>
  <c r="I127" i="6" s="1"/>
  <c r="H128" i="6"/>
  <c r="F128" i="6" a="1"/>
  <c r="F128" i="6" s="1"/>
  <c r="I128" i="6" s="1"/>
  <c r="H129" i="6"/>
  <c r="F129" i="6" a="1"/>
  <c r="F129" i="6" s="1"/>
  <c r="I129" i="6" s="1"/>
  <c r="H130" i="6"/>
  <c r="F130" i="6" a="1"/>
  <c r="F130" i="6" s="1"/>
  <c r="I130" i="6" s="1"/>
  <c r="H131" i="6"/>
  <c r="F131" i="6" a="1"/>
  <c r="F131" i="6" s="1"/>
  <c r="I131" i="6" s="1"/>
  <c r="H132" i="6"/>
  <c r="F132" i="6" a="1"/>
  <c r="F132" i="6" s="1"/>
  <c r="I132" i="6" s="1"/>
  <c r="H134" i="6"/>
  <c r="F134" i="6" a="1"/>
  <c r="F134" i="6" s="1"/>
  <c r="I134" i="6" s="1"/>
  <c r="H135" i="6"/>
  <c r="F135" i="6" a="1"/>
  <c r="F135" i="6" s="1"/>
  <c r="I135" i="6" s="1"/>
  <c r="H136" i="6"/>
  <c r="F136" i="6" a="1"/>
  <c r="F136" i="6" s="1"/>
  <c r="I136" i="6" s="1"/>
  <c r="H137" i="6"/>
  <c r="F137" i="6" a="1"/>
  <c r="F137" i="6" s="1"/>
  <c r="I137" i="6" s="1"/>
  <c r="H138" i="6"/>
  <c r="F138" i="6" a="1"/>
  <c r="F138" i="6" s="1"/>
  <c r="I138" i="6" s="1"/>
  <c r="H139" i="6"/>
  <c r="F139" i="6" a="1"/>
  <c r="F139" i="6" s="1"/>
  <c r="I139" i="6" s="1"/>
  <c r="H145" i="6"/>
  <c r="F145" i="6" a="1"/>
  <c r="F145" i="6" s="1"/>
  <c r="I145" i="6" s="1"/>
  <c r="H77" i="6"/>
  <c r="F77" i="6" a="1"/>
  <c r="F77" i="6" s="1"/>
  <c r="I77" i="6" s="1"/>
  <c r="H76" i="6"/>
  <c r="F76" i="6" a="1"/>
  <c r="F76" i="6" s="1"/>
  <c r="I76" i="6" s="1"/>
  <c r="H75" i="6"/>
  <c r="F75" i="6" a="1"/>
  <c r="F75" i="6" s="1"/>
  <c r="I75" i="6" s="1"/>
  <c r="H74" i="6"/>
  <c r="F74" i="6" a="1"/>
  <c r="F74" i="6" s="1"/>
  <c r="I74" i="6" s="1"/>
  <c r="H73" i="6"/>
  <c r="F73" i="6" a="1"/>
  <c r="F73" i="6" s="1"/>
  <c r="I73" i="6" s="1"/>
  <c r="H72" i="6"/>
  <c r="F72" i="6" a="1"/>
  <c r="F72" i="6" s="1"/>
  <c r="I72" i="6" s="1"/>
  <c r="H71" i="6"/>
  <c r="F71" i="6" a="1"/>
  <c r="F71" i="6" s="1"/>
  <c r="I71" i="6" s="1"/>
  <c r="H70" i="6"/>
  <c r="F70" i="6" a="1"/>
  <c r="F70" i="6" s="1"/>
  <c r="I70" i="6" s="1"/>
  <c r="H69" i="6"/>
  <c r="F69" i="6" a="1"/>
  <c r="F69" i="6" s="1"/>
  <c r="I69" i="6" s="1"/>
  <c r="H68" i="6"/>
  <c r="F68" i="6" a="1"/>
  <c r="F68" i="6" s="1"/>
  <c r="I68" i="6" s="1"/>
  <c r="H67" i="6"/>
  <c r="F67" i="6" a="1"/>
  <c r="F67" i="6" s="1"/>
  <c r="I67" i="6" s="1"/>
  <c r="H66" i="6"/>
  <c r="F66" i="6" a="1"/>
  <c r="F66" i="6" s="1"/>
  <c r="I66" i="6" s="1"/>
  <c r="H65" i="6"/>
  <c r="F65" i="6" a="1"/>
  <c r="F65" i="6" s="1"/>
  <c r="I65" i="6" s="1"/>
  <c r="H64" i="6"/>
  <c r="F64" i="6" a="1"/>
  <c r="F64" i="6" s="1"/>
  <c r="I64" i="6" s="1"/>
  <c r="F63" i="6" a="1"/>
  <c r="F63" i="6" s="1"/>
  <c r="I63" i="6" s="1"/>
  <c r="F62" i="6" a="1"/>
  <c r="F62" i="6" s="1"/>
  <c r="I62" i="6" s="1"/>
  <c r="F38" i="6" a="1"/>
  <c r="F38" i="6" s="1"/>
  <c r="I38" i="6" s="1"/>
  <c r="F25" i="6" a="1"/>
  <c r="F25" i="6" s="1"/>
  <c r="F34" i="6" a="1"/>
  <c r="F34" i="6" s="1"/>
  <c r="I34" i="6" s="1"/>
  <c r="H33" i="6"/>
  <c r="F33" i="6" a="1"/>
  <c r="F33" i="6" s="1"/>
  <c r="I33" i="6" s="1"/>
  <c r="H32" i="6"/>
  <c r="F32" i="6" a="1"/>
  <c r="F32" i="6" s="1"/>
  <c r="I32" i="6" s="1"/>
  <c r="H29" i="6"/>
  <c r="F29" i="6" a="1"/>
  <c r="F29" i="6" s="1"/>
  <c r="I29" i="6" s="1"/>
  <c r="H28" i="6"/>
  <c r="F28" i="6" a="1"/>
  <c r="F28" i="6" s="1"/>
  <c r="I28" i="6" s="1"/>
  <c r="H27" i="6"/>
  <c r="F27" i="6" a="1"/>
  <c r="F27" i="6" s="1"/>
  <c r="I27" i="6" s="1"/>
  <c r="H26" i="6"/>
  <c r="F26" i="6" a="1"/>
  <c r="F26" i="6" s="1"/>
  <c r="I26" i="6" s="1"/>
  <c r="H12" i="6"/>
  <c r="F12" i="6" a="1"/>
  <c r="F12" i="6" s="1"/>
  <c r="I12" i="6" s="1"/>
  <c r="H3" i="6"/>
  <c r="F3" i="6" a="1"/>
  <c r="F3" i="6" s="1"/>
  <c r="I3" i="6" s="1"/>
  <c r="H55" i="6"/>
  <c r="F55" i="6" a="1"/>
  <c r="F55" i="6" s="1"/>
  <c r="I55" i="6" s="1"/>
  <c r="H42" i="6"/>
  <c r="F42" i="6" a="1"/>
  <c r="F42" i="6" s="1"/>
  <c r="I42" i="6" s="1"/>
  <c r="H37" i="6"/>
  <c r="F37" i="6" a="1"/>
  <c r="F37" i="6" s="1"/>
  <c r="I37" i="6" s="1"/>
  <c r="H36" i="6"/>
  <c r="F36" i="6" a="1"/>
  <c r="F36" i="6" s="1"/>
  <c r="I36" i="6" s="1"/>
  <c r="H24" i="6"/>
  <c r="F24" i="6" a="1"/>
  <c r="F24" i="6" s="1"/>
  <c r="I24" i="6" s="1"/>
  <c r="H21" i="6"/>
  <c r="F21" i="6" a="1"/>
  <c r="F21" i="6" s="1"/>
  <c r="I21" i="6" s="1"/>
  <c r="H20" i="6"/>
  <c r="F20" i="6" a="1"/>
  <c r="F20" i="6" s="1"/>
  <c r="I20" i="6" s="1"/>
  <c r="H17" i="6"/>
  <c r="F17" i="6" a="1"/>
  <c r="F17" i="6" s="1"/>
  <c r="I17" i="6" s="1"/>
  <c r="H9" i="6"/>
  <c r="F9" i="6" a="1"/>
  <c r="F9" i="6" s="1"/>
  <c r="I9" i="6" s="1"/>
  <c r="H10" i="6"/>
  <c r="F10" i="6" a="1"/>
  <c r="F10" i="6" s="1"/>
  <c r="I10" i="6" s="1"/>
  <c r="H54" i="6"/>
  <c r="F54" i="6" a="1"/>
  <c r="F54" i="6" s="1"/>
  <c r="I54" i="6" s="1"/>
  <c r="H41" i="6"/>
  <c r="F41" i="6" a="1"/>
  <c r="F41" i="6" s="1"/>
  <c r="I41" i="6" s="1"/>
  <c r="H22" i="6"/>
  <c r="F22" i="6" a="1"/>
  <c r="F22" i="6" s="1"/>
  <c r="I22" i="6" s="1"/>
  <c r="H61" i="6"/>
  <c r="F61" i="6" a="1"/>
  <c r="F61" i="6" s="1"/>
  <c r="I61" i="6" s="1"/>
  <c r="H49" i="6"/>
  <c r="F49" i="6" a="1"/>
  <c r="F49" i="6" s="1"/>
  <c r="I49" i="6" s="1"/>
  <c r="H48" i="6"/>
  <c r="F48" i="6" a="1"/>
  <c r="F48" i="6" s="1"/>
  <c r="I48" i="6" s="1"/>
  <c r="H47" i="6"/>
  <c r="F47" i="6" a="1"/>
  <c r="F47" i="6" s="1"/>
  <c r="I47" i="6" s="1"/>
  <c r="H46" i="6"/>
  <c r="F46" i="6" a="1"/>
  <c r="F46" i="6" s="1"/>
  <c r="I46" i="6" s="1"/>
  <c r="H45" i="6"/>
  <c r="F45" i="6" a="1"/>
  <c r="F45" i="6" s="1"/>
  <c r="I45" i="6" s="1"/>
  <c r="H44" i="6"/>
  <c r="F44" i="6" a="1"/>
  <c r="F44" i="6" s="1"/>
  <c r="I44" i="6" s="1"/>
  <c r="H39" i="6"/>
  <c r="F39" i="6" a="1"/>
  <c r="F39" i="6" s="1"/>
  <c r="I39" i="6" s="1"/>
  <c r="H16" i="6"/>
  <c r="F16" i="6" a="1"/>
  <c r="F16" i="6" s="1"/>
  <c r="I16" i="6" s="1"/>
  <c r="H15" i="6"/>
  <c r="F15" i="6" a="1"/>
  <c r="F15" i="6" s="1"/>
  <c r="I15" i="6" s="1"/>
  <c r="H14" i="6"/>
  <c r="F14" i="6" a="1"/>
  <c r="F14" i="6" s="1"/>
  <c r="I14" i="6" s="1"/>
  <c r="H60" i="6"/>
  <c r="F60" i="6" a="1"/>
  <c r="F60" i="6" s="1"/>
  <c r="I60" i="6" s="1"/>
  <c r="H7" i="6"/>
  <c r="F7" i="6" a="1"/>
  <c r="F7" i="6" s="1"/>
  <c r="I7" i="6" s="1"/>
  <c r="H59" i="6"/>
  <c r="F59" i="6" a="1"/>
  <c r="F59" i="6" s="1"/>
  <c r="I59" i="6" s="1"/>
  <c r="H58" i="6"/>
  <c r="F58" i="6" a="1"/>
  <c r="F58" i="6" s="1"/>
  <c r="I58" i="6" s="1"/>
  <c r="H57" i="6"/>
  <c r="F57" i="6" a="1"/>
  <c r="F57" i="6" s="1"/>
  <c r="I57" i="6" s="1"/>
  <c r="H56" i="6"/>
  <c r="F56" i="6" a="1"/>
  <c r="F56" i="6" s="1"/>
  <c r="I56" i="6" s="1"/>
  <c r="H53" i="6"/>
  <c r="F53" i="6" a="1"/>
  <c r="F53" i="6" s="1"/>
  <c r="I53" i="6" s="1"/>
  <c r="H51" i="6"/>
  <c r="F51" i="6" a="1"/>
  <c r="F51" i="6" s="1"/>
  <c r="I51" i="6" s="1"/>
  <c r="H52" i="6"/>
  <c r="F52" i="6" a="1"/>
  <c r="F52" i="6" s="1"/>
  <c r="I52" i="6" s="1"/>
  <c r="H43" i="6"/>
  <c r="F43" i="6" a="1"/>
  <c r="F43" i="6" s="1"/>
  <c r="I43" i="6" s="1"/>
  <c r="H35" i="6"/>
  <c r="F35" i="6" a="1"/>
  <c r="F35" i="6" s="1"/>
  <c r="I35" i="6" s="1"/>
  <c r="H23" i="6"/>
  <c r="F23" i="6" a="1"/>
  <c r="F23" i="6" s="1"/>
  <c r="I23" i="6" s="1"/>
  <c r="H19" i="6"/>
  <c r="F19" i="6" a="1"/>
  <c r="F19" i="6" s="1"/>
  <c r="I19" i="6" s="1"/>
  <c r="H18" i="6"/>
  <c r="F18" i="6" a="1"/>
  <c r="F18" i="6" s="1"/>
  <c r="I18" i="6" s="1"/>
  <c r="H13" i="6"/>
  <c r="F13" i="6" a="1"/>
  <c r="F13" i="6" s="1"/>
  <c r="I13" i="6" s="1"/>
  <c r="H11" i="6"/>
  <c r="F11" i="6" a="1"/>
  <c r="F11" i="6" s="1"/>
  <c r="I11" i="6" s="1"/>
  <c r="H6" i="6"/>
  <c r="F6" i="6" a="1"/>
  <c r="F6" i="6" s="1"/>
  <c r="I6" i="6" s="1"/>
  <c r="H8" i="6"/>
  <c r="F8" i="6" a="1"/>
  <c r="F8" i="6" s="1"/>
  <c r="I8" i="6" s="1"/>
  <c r="H5" i="6"/>
  <c r="F5" i="6" a="1"/>
  <c r="F5" i="6" s="1"/>
  <c r="I5" i="6" s="1"/>
  <c r="H40" i="6"/>
  <c r="F40" i="6" a="1"/>
  <c r="F40" i="6" s="1"/>
  <c r="I40" i="6" s="1"/>
  <c r="H31" i="6"/>
  <c r="F31" i="6" a="1"/>
  <c r="F31" i="6" s="1"/>
  <c r="I31" i="6" s="1"/>
  <c r="H30" i="6"/>
  <c r="F30" i="6" a="1"/>
  <c r="F30" i="6" s="1"/>
  <c r="I30" i="6" s="1"/>
  <c r="H50" i="6"/>
  <c r="F50" i="6" a="1"/>
  <c r="F50" i="6" s="1"/>
  <c r="I50" i="6" s="1"/>
  <c r="H4" i="6"/>
  <c r="F4" i="6" a="1"/>
  <c r="F4" i="6" s="1"/>
  <c r="I4" i="6" s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F4" i="1" a="1"/>
  <c r="F4" i="1"/>
  <c r="F5" i="1" a="1"/>
  <c r="F5" i="1"/>
  <c r="F6" i="1" a="1"/>
  <c r="F6" i="1" s="1"/>
  <c r="F7" i="1" a="1"/>
  <c r="F7" i="1"/>
  <c r="F8" i="1" a="1"/>
  <c r="F8" i="1"/>
  <c r="F9" i="1" a="1"/>
  <c r="F9" i="1"/>
  <c r="F10" i="1" a="1"/>
  <c r="F10" i="1" s="1"/>
  <c r="F11" i="1" a="1"/>
  <c r="F11" i="1"/>
  <c r="F12" i="1" a="1"/>
  <c r="F12" i="1"/>
  <c r="F13" i="1" a="1"/>
  <c r="F13" i="1"/>
  <c r="F14" i="1" a="1"/>
  <c r="F14" i="1" s="1"/>
  <c r="F15" i="1" a="1"/>
  <c r="F15" i="1"/>
  <c r="F16" i="1" a="1"/>
  <c r="F16" i="1"/>
  <c r="F17" i="1" a="1"/>
  <c r="F17" i="1"/>
  <c r="F18" i="1" a="1"/>
  <c r="F18" i="1" s="1"/>
  <c r="F19" i="1" a="1"/>
  <c r="F19" i="1"/>
  <c r="F20" i="1" a="1"/>
  <c r="F20" i="1"/>
  <c r="F21" i="1" a="1"/>
  <c r="F21" i="1" s="1"/>
  <c r="F22" i="1" a="1"/>
  <c r="F22" i="1" s="1"/>
  <c r="F23" i="1" a="1"/>
  <c r="F23" i="1"/>
  <c r="F24" i="1" a="1"/>
  <c r="F24" i="1"/>
  <c r="F25" i="1" a="1"/>
  <c r="F25" i="1" s="1"/>
  <c r="F26" i="1" a="1"/>
  <c r="F26" i="1" s="1"/>
  <c r="F27" i="1" a="1"/>
  <c r="F27" i="1"/>
  <c r="F28" i="1" a="1"/>
  <c r="F28" i="1"/>
  <c r="F29" i="1" a="1"/>
  <c r="F29" i="1" s="1"/>
  <c r="F30" i="1" a="1"/>
  <c r="F30" i="1" s="1"/>
  <c r="F31" i="1" a="1"/>
  <c r="F31" i="1"/>
  <c r="F32" i="1" a="1"/>
  <c r="F32" i="1"/>
  <c r="F33" i="1" a="1"/>
  <c r="F33" i="1" s="1"/>
  <c r="F34" i="1" a="1"/>
  <c r="F34" i="1" s="1"/>
  <c r="F35" i="1" a="1"/>
  <c r="F35" i="1"/>
  <c r="F36" i="1" a="1"/>
  <c r="F36" i="1"/>
  <c r="F37" i="1" a="1"/>
  <c r="F37" i="1" s="1"/>
  <c r="F38" i="1" a="1"/>
  <c r="F38" i="1" s="1"/>
  <c r="F39" i="1" a="1"/>
  <c r="F39" i="1"/>
  <c r="F40" i="1" a="1"/>
  <c r="F40" i="1"/>
  <c r="F41" i="1" a="1"/>
  <c r="F41" i="1" s="1"/>
  <c r="F42" i="1" a="1"/>
  <c r="F42" i="1" s="1"/>
  <c r="F43" i="1" a="1"/>
  <c r="F43" i="1"/>
  <c r="F44" i="1" a="1"/>
  <c r="F44" i="1"/>
  <c r="F45" i="1" a="1"/>
  <c r="F45" i="1" s="1"/>
  <c r="F46" i="1" a="1"/>
  <c r="F46" i="1" s="1"/>
  <c r="F47" i="1" a="1"/>
  <c r="F47" i="1"/>
  <c r="F48" i="1" a="1"/>
  <c r="F48" i="1"/>
  <c r="F49" i="1" a="1"/>
  <c r="F49" i="1" s="1"/>
  <c r="F50" i="1" a="1"/>
  <c r="F50" i="1" s="1"/>
  <c r="F51" i="1" a="1"/>
  <c r="F51" i="1"/>
  <c r="F52" i="1" a="1"/>
  <c r="F52" i="1"/>
  <c r="F53" i="1" a="1"/>
  <c r="F53" i="1" s="1"/>
  <c r="F54" i="1" a="1"/>
  <c r="F54" i="1" s="1"/>
  <c r="F55" i="1" a="1"/>
  <c r="F55" i="1"/>
  <c r="F56" i="1" a="1"/>
  <c r="F56" i="1"/>
  <c r="F57" i="1" a="1"/>
  <c r="F57" i="1" s="1"/>
  <c r="F58" i="1" a="1"/>
  <c r="F58" i="1" s="1"/>
  <c r="F59" i="1" a="1"/>
  <c r="F59" i="1"/>
  <c r="F60" i="1" a="1"/>
  <c r="F60" i="1"/>
  <c r="F61" i="1" a="1"/>
  <c r="F61" i="1" s="1"/>
  <c r="F62" i="1" a="1"/>
  <c r="F62" i="1" s="1"/>
  <c r="F63" i="1" a="1"/>
  <c r="F63" i="1"/>
  <c r="F64" i="1" a="1"/>
  <c r="F64" i="1"/>
  <c r="F65" i="1" a="1"/>
  <c r="F65" i="1" s="1"/>
  <c r="F66" i="1" a="1"/>
  <c r="F66" i="1" s="1"/>
  <c r="F67" i="1" a="1"/>
  <c r="F67" i="1"/>
  <c r="F68" i="1" a="1"/>
  <c r="F68" i="1"/>
  <c r="F69" i="1" a="1"/>
  <c r="F69" i="1" s="1"/>
  <c r="F70" i="1" a="1"/>
  <c r="F70" i="1" s="1"/>
  <c r="F71" i="1" a="1"/>
  <c r="F71" i="1"/>
  <c r="F72" i="1" a="1"/>
  <c r="F72" i="1"/>
  <c r="F73" i="1" a="1"/>
  <c r="F73" i="1" s="1"/>
  <c r="F74" i="1" a="1"/>
  <c r="F74" i="1" s="1"/>
  <c r="F75" i="1" a="1"/>
  <c r="F75" i="1"/>
  <c r="F76" i="1" a="1"/>
  <c r="F76" i="1"/>
  <c r="F77" i="1" a="1"/>
  <c r="F77" i="1" s="1"/>
  <c r="F78" i="1" a="1"/>
  <c r="F78" i="1" s="1"/>
  <c r="F79" i="1" a="1"/>
  <c r="F79" i="1"/>
  <c r="F80" i="1" a="1"/>
  <c r="F80" i="1"/>
  <c r="F81" i="1" a="1"/>
  <c r="F81" i="1" s="1"/>
  <c r="F82" i="1" a="1"/>
  <c r="F82" i="1" s="1"/>
  <c r="F83" i="1" a="1"/>
  <c r="F83" i="1"/>
  <c r="F84" i="1" a="1"/>
  <c r="F84" i="1"/>
  <c r="F85" i="1" a="1"/>
  <c r="F85" i="1" s="1"/>
  <c r="F86" i="1" a="1"/>
  <c r="F86" i="1" s="1"/>
  <c r="F87" i="1" a="1"/>
  <c r="F87" i="1"/>
  <c r="F88" i="1" a="1"/>
  <c r="F88" i="1" s="1"/>
  <c r="F89" i="1" a="1"/>
  <c r="F89" i="1" s="1"/>
  <c r="F90" i="1" a="1"/>
  <c r="F90" i="1" s="1"/>
  <c r="F91" i="1" a="1"/>
  <c r="F91" i="1"/>
  <c r="F92" i="1" a="1"/>
  <c r="F92" i="1" s="1"/>
  <c r="F93" i="1" a="1"/>
  <c r="F93" i="1" s="1"/>
  <c r="F94" i="1" a="1"/>
  <c r="F94" i="1" s="1"/>
  <c r="F95" i="1" a="1"/>
  <c r="F95" i="1"/>
  <c r="F96" i="1" a="1"/>
  <c r="F96" i="1" s="1"/>
  <c r="F97" i="1" a="1"/>
  <c r="F97" i="1" s="1"/>
  <c r="F98" i="1" a="1"/>
  <c r="F98" i="1" s="1"/>
  <c r="F99" i="1" a="1"/>
  <c r="F99" i="1"/>
  <c r="F100" i="1" a="1"/>
  <c r="F100" i="1" s="1"/>
  <c r="F101" i="1" a="1"/>
  <c r="F101" i="1" s="1"/>
  <c r="F102" i="1" a="1"/>
  <c r="F102" i="1" s="1"/>
  <c r="F103" i="1" a="1"/>
  <c r="F103" i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 s="1"/>
  <c r="F123" i="1" a="1"/>
  <c r="F123" i="1" s="1"/>
  <c r="F124" i="1" a="1"/>
  <c r="F124" i="1" s="1"/>
  <c r="F125" i="1" a="1"/>
  <c r="F125" i="1" s="1"/>
  <c r="F126" i="1" a="1"/>
  <c r="F126" i="1" s="1"/>
  <c r="F127" i="1" a="1"/>
  <c r="F127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 s="1"/>
  <c r="F133" i="1" a="1"/>
  <c r="F133" i="1" s="1"/>
  <c r="F134" i="1" a="1"/>
  <c r="F134" i="1" s="1"/>
  <c r="F135" i="1" a="1"/>
  <c r="F135" i="1" s="1"/>
  <c r="F136" i="1" a="1"/>
  <c r="F136" i="1" s="1"/>
  <c r="F137" i="1" a="1"/>
  <c r="F137" i="1" s="1"/>
  <c r="F138" i="1" a="1"/>
  <c r="F138" i="1" s="1"/>
  <c r="F139" i="1" a="1"/>
  <c r="F139" i="1" s="1"/>
  <c r="F140" i="1" a="1"/>
  <c r="F140" i="1" s="1"/>
  <c r="F141" i="1" a="1"/>
  <c r="F141" i="1" s="1"/>
  <c r="F142" i="1" a="1"/>
  <c r="F142" i="1" s="1"/>
  <c r="F143" i="1" a="1"/>
  <c r="F143" i="1" s="1"/>
  <c r="F144" i="1" a="1"/>
  <c r="F144" i="1" s="1"/>
  <c r="F145" i="1" a="1"/>
  <c r="F145" i="1" s="1"/>
  <c r="F146" i="1" a="1"/>
  <c r="F146" i="1" s="1"/>
  <c r="F147" i="1" a="1"/>
  <c r="F147" i="1" s="1"/>
  <c r="F148" i="1" a="1"/>
  <c r="F148" i="1" s="1"/>
  <c r="F149" i="1" a="1"/>
  <c r="F149" i="1" s="1"/>
  <c r="F150" i="1" a="1"/>
  <c r="F150" i="1" s="1"/>
  <c r="F151" i="1" a="1"/>
  <c r="F151" i="1" s="1"/>
  <c r="F152" i="1" a="1"/>
  <c r="F152" i="1" s="1"/>
  <c r="F153" i="1" a="1"/>
  <c r="F153" i="1" s="1"/>
  <c r="F154" i="1" a="1"/>
  <c r="F154" i="1" s="1"/>
  <c r="F155" i="1" a="1"/>
  <c r="F155" i="1" s="1"/>
  <c r="F156" i="1" a="1"/>
  <c r="F156" i="1" s="1"/>
  <c r="F157" i="1" a="1"/>
  <c r="F157" i="1" s="1"/>
  <c r="F158" i="1" a="1"/>
  <c r="F158" i="1" s="1"/>
  <c r="F159" i="1" a="1"/>
  <c r="F159" i="1" s="1"/>
  <c r="F160" i="1" a="1"/>
  <c r="F160" i="1" s="1"/>
  <c r="F161" i="1" a="1"/>
  <c r="F161" i="1" s="1"/>
  <c r="F162" i="1" a="1"/>
  <c r="F162" i="1" s="1"/>
  <c r="F163" i="1" a="1"/>
  <c r="F163" i="1" s="1"/>
  <c r="F164" i="1" a="1"/>
  <c r="F164" i="1" s="1"/>
  <c r="F165" i="1" a="1"/>
  <c r="F165" i="1" s="1"/>
  <c r="F166" i="1" a="1"/>
  <c r="F166" i="1" s="1"/>
  <c r="F167" i="1" a="1"/>
  <c r="F167" i="1" s="1"/>
  <c r="F168" i="1" a="1"/>
  <c r="F168" i="1" s="1"/>
  <c r="F169" i="1" a="1"/>
  <c r="F169" i="1" s="1"/>
  <c r="F170" i="1" a="1"/>
  <c r="F170" i="1" s="1"/>
  <c r="F171" i="1" a="1"/>
  <c r="F171" i="1" s="1"/>
  <c r="F172" i="1" a="1"/>
  <c r="F172" i="1" s="1"/>
  <c r="F173" i="1" a="1"/>
  <c r="F173" i="1" s="1"/>
  <c r="F174" i="1" a="1"/>
  <c r="F174" i="1" s="1"/>
  <c r="F175" i="1" a="1"/>
  <c r="F175" i="1" s="1"/>
  <c r="F176" i="1" a="1"/>
  <c r="F176" i="1" s="1"/>
  <c r="F177" i="1" a="1"/>
  <c r="F177" i="1" s="1"/>
  <c r="F178" i="1" a="1"/>
  <c r="F178" i="1" s="1"/>
  <c r="F179" i="1" a="1"/>
  <c r="F179" i="1" s="1"/>
  <c r="F180" i="1" a="1"/>
  <c r="F180" i="1" s="1"/>
  <c r="F181" i="1" a="1"/>
  <c r="F181" i="1" s="1"/>
  <c r="F182" i="1" a="1"/>
  <c r="F182" i="1" s="1"/>
  <c r="F183" i="1" a="1"/>
  <c r="F183" i="1" s="1"/>
  <c r="F184" i="1" a="1"/>
  <c r="F184" i="1" s="1"/>
  <c r="F185" i="1" a="1"/>
  <c r="F185" i="1" s="1"/>
  <c r="F186" i="1" a="1"/>
  <c r="F186" i="1" s="1"/>
  <c r="F187" i="1" a="1"/>
  <c r="F187" i="1" s="1"/>
  <c r="F188" i="1" a="1"/>
  <c r="F188" i="1" s="1"/>
  <c r="F189" i="1" a="1"/>
  <c r="F189" i="1" s="1"/>
  <c r="F190" i="1" a="1"/>
  <c r="F190" i="1" s="1"/>
  <c r="F191" i="1" a="1"/>
  <c r="F191" i="1" s="1"/>
  <c r="F192" i="1" a="1"/>
  <c r="F192" i="1" s="1"/>
  <c r="F193" i="1" a="1"/>
  <c r="F193" i="1" s="1"/>
  <c r="F194" i="1" a="1"/>
  <c r="F194" i="1" s="1"/>
  <c r="F195" i="1" a="1"/>
  <c r="F195" i="1" s="1"/>
  <c r="F196" i="1" a="1"/>
  <c r="F196" i="1" s="1"/>
  <c r="F3" i="1" a="1"/>
  <c r="F3" i="1" s="1"/>
  <c r="I3" i="1" s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60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5" i="1"/>
  <c r="H136" i="1"/>
  <c r="H137" i="1"/>
  <c r="H138" i="1"/>
  <c r="H139" i="1"/>
  <c r="H140" i="1"/>
  <c r="H141" i="1"/>
  <c r="H143" i="1"/>
  <c r="H144" i="1"/>
  <c r="H145" i="1"/>
  <c r="H146" i="1"/>
  <c r="H147" i="1"/>
  <c r="H148" i="1"/>
  <c r="H149" i="1"/>
  <c r="H150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5" i="1"/>
  <c r="H176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P51" i="1"/>
  <c r="P50" i="1"/>
  <c r="P49" i="1"/>
  <c r="P48" i="1"/>
  <c r="P47" i="1"/>
  <c r="P46" i="1"/>
  <c r="P45" i="1"/>
  <c r="P43" i="1"/>
  <c r="P42" i="1"/>
  <c r="P41" i="1"/>
  <c r="P40" i="1"/>
  <c r="P39" i="1"/>
  <c r="P38" i="1"/>
  <c r="P37" i="1"/>
  <c r="P35" i="1"/>
  <c r="P34" i="1"/>
  <c r="T33" i="1"/>
  <c r="P33" i="1"/>
  <c r="T32" i="1"/>
  <c r="P32" i="1"/>
  <c r="T31" i="1"/>
  <c r="P31" i="1"/>
  <c r="T30" i="1"/>
  <c r="P30" i="1"/>
  <c r="P29" i="1"/>
  <c r="T28" i="1"/>
  <c r="T27" i="1"/>
  <c r="P27" i="1"/>
  <c r="T26" i="1"/>
  <c r="P26" i="1"/>
  <c r="T25" i="1"/>
  <c r="P25" i="1"/>
  <c r="P24" i="1"/>
  <c r="T23" i="1"/>
  <c r="P23" i="1"/>
  <c r="T22" i="1"/>
  <c r="P22" i="1"/>
  <c r="T21" i="1"/>
  <c r="P21" i="1"/>
  <c r="T20" i="1"/>
  <c r="P19" i="1"/>
  <c r="T18" i="1"/>
  <c r="P18" i="1"/>
  <c r="T17" i="1"/>
  <c r="P17" i="1"/>
  <c r="T16" i="1"/>
  <c r="P16" i="1"/>
  <c r="T15" i="1"/>
  <c r="P15" i="1"/>
  <c r="P14" i="1"/>
  <c r="T13" i="1"/>
  <c r="P13" i="1"/>
  <c r="T12" i="1"/>
  <c r="T11" i="1"/>
  <c r="P11" i="1"/>
  <c r="T10" i="1"/>
  <c r="P10" i="1"/>
  <c r="P9" i="1"/>
  <c r="T8" i="1"/>
  <c r="P8" i="1"/>
  <c r="T7" i="1"/>
  <c r="P7" i="1"/>
  <c r="T6" i="1"/>
  <c r="P6" i="1"/>
  <c r="T5" i="1"/>
  <c r="P5" i="1"/>
  <c r="Q27" i="6" l="1"/>
  <c r="Q19" i="6"/>
  <c r="Q43" i="6"/>
  <c r="Q35" i="6"/>
  <c r="Q11" i="6"/>
  <c r="Q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<sst xmlns="http://schemas.openxmlformats.org/spreadsheetml/2006/main" count="11916" uniqueCount="670">
  <si>
    <t>Age</t>
  </si>
  <si>
    <t>Breed</t>
  </si>
  <si>
    <t>Intake</t>
  </si>
  <si>
    <t>Date Left</t>
  </si>
  <si>
    <t>Status</t>
  </si>
  <si>
    <t>Notes</t>
  </si>
  <si>
    <t>Record</t>
  </si>
  <si>
    <t>DSH</t>
  </si>
  <si>
    <t>RTO</t>
  </si>
  <si>
    <t>Safe Keeping</t>
  </si>
  <si>
    <t>DMH</t>
  </si>
  <si>
    <t>Adopted</t>
  </si>
  <si>
    <t>Name</t>
  </si>
  <si>
    <t>Gypsy</t>
  </si>
  <si>
    <t>Wednesday</t>
  </si>
  <si>
    <t>DLH</t>
  </si>
  <si>
    <t>Victoria</t>
  </si>
  <si>
    <t>Mittens</t>
  </si>
  <si>
    <t>Transferred</t>
  </si>
  <si>
    <t>Homeward Trails</t>
  </si>
  <si>
    <t>Callie</t>
  </si>
  <si>
    <t>Shelter</t>
  </si>
  <si>
    <t>Wiggles</t>
  </si>
  <si>
    <t>Lyric</t>
  </si>
  <si>
    <t>Feral</t>
  </si>
  <si>
    <t>Graddy</t>
  </si>
  <si>
    <t>Mama Cat</t>
  </si>
  <si>
    <t>Fearly</t>
  </si>
  <si>
    <t>DOA</t>
  </si>
  <si>
    <t>Died after 1 night of bottle feeding</t>
  </si>
  <si>
    <t>Died in custody</t>
  </si>
  <si>
    <t>Euthanized</t>
  </si>
  <si>
    <t>Kya</t>
  </si>
  <si>
    <t>Sick</t>
  </si>
  <si>
    <t>Trap</t>
  </si>
  <si>
    <t>Ruptured eye</t>
  </si>
  <si>
    <t>Owner Surrender</t>
  </si>
  <si>
    <t>Roux</t>
  </si>
  <si>
    <t>Stray</t>
  </si>
  <si>
    <t>Stray / Sick</t>
  </si>
  <si>
    <t>Born at shelter</t>
  </si>
  <si>
    <t>Bite</t>
  </si>
  <si>
    <t>Intake Status</t>
  </si>
  <si>
    <t>BAS</t>
  </si>
  <si>
    <t>Siamese</t>
  </si>
  <si>
    <t>Euthanized for owner</t>
  </si>
  <si>
    <t>unweaned</t>
  </si>
  <si>
    <t>Avia</t>
  </si>
  <si>
    <t>Pit</t>
  </si>
  <si>
    <t>Pit x</t>
  </si>
  <si>
    <t>ShihTzu x</t>
  </si>
  <si>
    <t>Pug x</t>
  </si>
  <si>
    <t>Seized</t>
  </si>
  <si>
    <t>Poodle</t>
  </si>
  <si>
    <t>Maltipoo</t>
  </si>
  <si>
    <t>German Shep</t>
  </si>
  <si>
    <t>Husky x</t>
  </si>
  <si>
    <t>Rocky</t>
  </si>
  <si>
    <t>Doodle</t>
  </si>
  <si>
    <t>Grt Dane / Lab</t>
  </si>
  <si>
    <t>Other</t>
  </si>
  <si>
    <t>St Bernard x</t>
  </si>
  <si>
    <t>Great Pyrenees</t>
  </si>
  <si>
    <t>at AMC</t>
  </si>
  <si>
    <t>Pomeranian</t>
  </si>
  <si>
    <t>owner requested</t>
  </si>
  <si>
    <t>Parvo</t>
  </si>
  <si>
    <t>Princess</t>
  </si>
  <si>
    <t>GS / Chow</t>
  </si>
  <si>
    <t>Beagle x</t>
  </si>
  <si>
    <t>Lab</t>
  </si>
  <si>
    <t>Hound</t>
  </si>
  <si>
    <t>Hound x</t>
  </si>
  <si>
    <t>Vinny</t>
  </si>
  <si>
    <t>Valentina</t>
  </si>
  <si>
    <t>German Shep x</t>
  </si>
  <si>
    <t>Owner died</t>
  </si>
  <si>
    <t>Great Pyrenees x</t>
  </si>
  <si>
    <t>Terrier x</t>
  </si>
  <si>
    <t>Eviction</t>
  </si>
  <si>
    <t>Cocker Spaniel</t>
  </si>
  <si>
    <t>Oldies but Goodies</t>
  </si>
  <si>
    <t>ShihTzu</t>
  </si>
  <si>
    <t>Cane Corso</t>
  </si>
  <si>
    <t>Richmond SPCA</t>
  </si>
  <si>
    <t>Cookie</t>
  </si>
  <si>
    <t>Sanctuary Rescue</t>
  </si>
  <si>
    <t>Chow x</t>
  </si>
  <si>
    <t>GS / Pit</t>
  </si>
  <si>
    <t>Beagle</t>
  </si>
  <si>
    <t>Chip</t>
  </si>
  <si>
    <t>Matilda</t>
  </si>
  <si>
    <t>Pittsylvania Pet Center</t>
  </si>
  <si>
    <t>Hummingbird</t>
  </si>
  <si>
    <t>Caswell County APS</t>
  </si>
  <si>
    <t>Chi</t>
  </si>
  <si>
    <t>Peanut</t>
  </si>
  <si>
    <t>Martinsville SPCA</t>
  </si>
  <si>
    <t>Huck</t>
  </si>
  <si>
    <t>Unknown location</t>
  </si>
  <si>
    <t>Tom Tom</t>
  </si>
  <si>
    <t>Chase</t>
  </si>
  <si>
    <t>Jack Russ / Chi</t>
  </si>
  <si>
    <t>At shelter</t>
  </si>
  <si>
    <t>Collie x</t>
  </si>
  <si>
    <t>Goldie</t>
  </si>
  <si>
    <t>Great Dane</t>
  </si>
  <si>
    <t>Rottweiler</t>
  </si>
  <si>
    <t>Chi x</t>
  </si>
  <si>
    <t>Safe keeping</t>
  </si>
  <si>
    <t>Shih Tzu</t>
  </si>
  <si>
    <t>Died at shelter</t>
  </si>
  <si>
    <t>Milo</t>
  </si>
  <si>
    <t>Hould / Lab</t>
  </si>
  <si>
    <t>Alma</t>
  </si>
  <si>
    <t>Juno</t>
  </si>
  <si>
    <t>Ginger</t>
  </si>
  <si>
    <t>Grt Dane / Poodle</t>
  </si>
  <si>
    <t>Borken leg</t>
  </si>
  <si>
    <t>Great Dane x</t>
  </si>
  <si>
    <t>Hope</t>
  </si>
  <si>
    <t>Bubba</t>
  </si>
  <si>
    <t>Daisy</t>
  </si>
  <si>
    <t>Injured</t>
  </si>
  <si>
    <t>Misty</t>
  </si>
  <si>
    <t>Shep x</t>
  </si>
  <si>
    <t>URI</t>
  </si>
  <si>
    <t>Sick / PETA</t>
  </si>
  <si>
    <t xml:space="preserve">Sick  </t>
  </si>
  <si>
    <t>Chiweenie</t>
  </si>
  <si>
    <t>Carmella</t>
  </si>
  <si>
    <t>Sick / Unweaned</t>
  </si>
  <si>
    <t>Beau</t>
  </si>
  <si>
    <t>Attacked shelter dogs</t>
  </si>
  <si>
    <t>Ret x</t>
  </si>
  <si>
    <t>Max</t>
  </si>
  <si>
    <t>Big Boy</t>
  </si>
  <si>
    <t>Levis</t>
  </si>
  <si>
    <t>Coco</t>
  </si>
  <si>
    <t>Bully</t>
  </si>
  <si>
    <t>Ellie</t>
  </si>
  <si>
    <t>Blue Heeler</t>
  </si>
  <si>
    <t xml:space="preserve">Pit / Grey Hound </t>
  </si>
  <si>
    <t>Unweaned</t>
  </si>
  <si>
    <t>Cavapoo?</t>
  </si>
  <si>
    <t>Mickey</t>
  </si>
  <si>
    <t>owner passed away</t>
  </si>
  <si>
    <t>ringworm</t>
  </si>
  <si>
    <t>Lab x</t>
  </si>
  <si>
    <t>Shadow</t>
  </si>
  <si>
    <t>MinPin</t>
  </si>
  <si>
    <t>Bluey</t>
  </si>
  <si>
    <t>cancer</t>
  </si>
  <si>
    <t>Bella</t>
  </si>
  <si>
    <t>Mama and 3 kittens</t>
  </si>
  <si>
    <t>Sprig</t>
  </si>
  <si>
    <t>Charlie</t>
  </si>
  <si>
    <t>Tina</t>
  </si>
  <si>
    <t>Mina</t>
  </si>
  <si>
    <t>ShihTzu/Yorkie</t>
  </si>
  <si>
    <t>Husky/Pit</t>
  </si>
  <si>
    <t>Boxer / Pit</t>
  </si>
  <si>
    <t>dangerous dog</t>
  </si>
  <si>
    <t>Mr Whiskers</t>
  </si>
  <si>
    <t>Bel Mal</t>
  </si>
  <si>
    <t>Ranger</t>
  </si>
  <si>
    <t>injured</t>
  </si>
  <si>
    <t>Jack Russ</t>
  </si>
  <si>
    <t>Roxy</t>
  </si>
  <si>
    <t>Terrier</t>
  </si>
  <si>
    <t>Teddy</t>
  </si>
  <si>
    <t xml:space="preserve">Shep  </t>
  </si>
  <si>
    <t>Flea Allergy</t>
  </si>
  <si>
    <t>Cricket</t>
  </si>
  <si>
    <t>Chi / Jack Russ</t>
  </si>
  <si>
    <t>Mellow</t>
  </si>
  <si>
    <t>Available</t>
  </si>
  <si>
    <t>Ringworm and URI</t>
  </si>
  <si>
    <t>Days in Shelter</t>
  </si>
  <si>
    <t>Stray w/identification</t>
  </si>
  <si>
    <t>Sick / pink collar</t>
  </si>
  <si>
    <t>Itty Bitty</t>
  </si>
  <si>
    <t>Starlight</t>
  </si>
  <si>
    <t>Patchouli</t>
  </si>
  <si>
    <t>Pogo</t>
  </si>
  <si>
    <t>Kiki</t>
  </si>
  <si>
    <t>Microchipped?</t>
  </si>
  <si>
    <t xml:space="preserve">Mama </t>
  </si>
  <si>
    <t>Winnie / Pink Collar</t>
  </si>
  <si>
    <t>Blue Collar</t>
  </si>
  <si>
    <t>Rosie</t>
  </si>
  <si>
    <t>Draco</t>
  </si>
  <si>
    <t>Green Collar / Parvo</t>
  </si>
  <si>
    <t>Back leg issue</t>
  </si>
  <si>
    <t>Pink Collar</t>
  </si>
  <si>
    <t>Black collar / Red leash</t>
  </si>
  <si>
    <t>Dangerous Dog</t>
  </si>
  <si>
    <t>Red Collar</t>
  </si>
  <si>
    <t>Flea Collar</t>
  </si>
  <si>
    <t>Pittsylvania Pet Center / Red Collar</t>
  </si>
  <si>
    <t>Olive Green Collar</t>
  </si>
  <si>
    <t>Total</t>
  </si>
  <si>
    <t>after Hold</t>
  </si>
  <si>
    <t>Stray w/Identification</t>
  </si>
  <si>
    <t>BAS / Born at Shelter</t>
  </si>
  <si>
    <t>RTO / Return to owner</t>
  </si>
  <si>
    <t>Currently at Shelter</t>
  </si>
  <si>
    <t>Adult</t>
  </si>
  <si>
    <t>0-6 months</t>
  </si>
  <si>
    <t>6-12 months</t>
  </si>
  <si>
    <t>Senior</t>
  </si>
  <si>
    <t>Larry</t>
  </si>
  <si>
    <t>Graydy</t>
  </si>
  <si>
    <t>Trap / Feral</t>
  </si>
  <si>
    <t>Feral / Pregnant</t>
  </si>
  <si>
    <t>Not friendly</t>
  </si>
  <si>
    <t>Booty</t>
  </si>
  <si>
    <t>Trap / Front paw injured</t>
  </si>
  <si>
    <t>Macey</t>
  </si>
  <si>
    <t>URI / eye infection</t>
  </si>
  <si>
    <t>Sickly</t>
  </si>
  <si>
    <t>Sick / Old age</t>
  </si>
  <si>
    <t>Candy</t>
  </si>
  <si>
    <t>Low</t>
  </si>
  <si>
    <t>Zara</t>
  </si>
  <si>
    <t>Archie</t>
  </si>
  <si>
    <t>Pete</t>
  </si>
  <si>
    <t>Pet Center</t>
  </si>
  <si>
    <t>Possibly sick</t>
  </si>
  <si>
    <t>Eggman</t>
  </si>
  <si>
    <t>Bell</t>
  </si>
  <si>
    <t>Nina</t>
  </si>
  <si>
    <t>Simba</t>
  </si>
  <si>
    <t>Dottie</t>
  </si>
  <si>
    <t>Ace</t>
  </si>
  <si>
    <t>Grt Pyr</t>
  </si>
  <si>
    <t>Buddy</t>
  </si>
  <si>
    <t xml:space="preserve">Chi / ShihTzu </t>
  </si>
  <si>
    <t>Kyzer</t>
  </si>
  <si>
    <t>Marvin</t>
  </si>
  <si>
    <t>Cosmo</t>
  </si>
  <si>
    <t>Olive</t>
  </si>
  <si>
    <t>Hercules</t>
  </si>
  <si>
    <t>Sheba</t>
  </si>
  <si>
    <t>Aus Shep / Hound</t>
  </si>
  <si>
    <t>Hit by a car</t>
  </si>
  <si>
    <t>Pitbull</t>
  </si>
  <si>
    <t>Euth for owner / sick</t>
  </si>
  <si>
    <t>Lady</t>
  </si>
  <si>
    <t>Husky / Shep</t>
  </si>
  <si>
    <t>Naylah</t>
  </si>
  <si>
    <t xml:space="preserve">Lab  </t>
  </si>
  <si>
    <t>Lana</t>
  </si>
  <si>
    <t>Golden Ret / Lab</t>
  </si>
  <si>
    <t>Black purina collar</t>
  </si>
  <si>
    <t>Red collar</t>
  </si>
  <si>
    <t>Ghost</t>
  </si>
  <si>
    <t>Tow strap</t>
  </si>
  <si>
    <t>Diamond</t>
  </si>
  <si>
    <t>Brownie</t>
  </si>
  <si>
    <t>Tiny</t>
  </si>
  <si>
    <t>Koda</t>
  </si>
  <si>
    <t xml:space="preserve">Husky  </t>
  </si>
  <si>
    <t>Sonny</t>
  </si>
  <si>
    <t>Karma</t>
  </si>
  <si>
    <t>Schanuzer x</t>
  </si>
  <si>
    <t>Cooper</t>
  </si>
  <si>
    <t>Aria</t>
  </si>
  <si>
    <t>Remy</t>
  </si>
  <si>
    <t>Nova</t>
  </si>
  <si>
    <t>Sick and was taken to AMC</t>
  </si>
  <si>
    <t>Black/Pink collar</t>
  </si>
  <si>
    <t>Aggressive</t>
  </si>
  <si>
    <t>Food aggressive</t>
  </si>
  <si>
    <t>pink eyes</t>
  </si>
  <si>
    <t>Carlack</t>
  </si>
  <si>
    <t>Saske</t>
  </si>
  <si>
    <t>Kam</t>
  </si>
  <si>
    <t>Walnut</t>
  </si>
  <si>
    <t>Kennel cough meds not working</t>
  </si>
  <si>
    <t>Chanel</t>
  </si>
  <si>
    <t>Grt Pyr x</t>
  </si>
  <si>
    <t>Poppy</t>
  </si>
  <si>
    <t>Gatsby</t>
  </si>
  <si>
    <t>Halo</t>
  </si>
  <si>
    <t>Pippa</t>
  </si>
  <si>
    <t>Mimi</t>
  </si>
  <si>
    <t>Found injured</t>
  </si>
  <si>
    <t>Poe</t>
  </si>
  <si>
    <t>Wild</t>
  </si>
  <si>
    <t>Flip</t>
  </si>
  <si>
    <t>Little Bit</t>
  </si>
  <si>
    <t>Freddy</t>
  </si>
  <si>
    <t>Doom</t>
  </si>
  <si>
    <t>Knot on back</t>
  </si>
  <si>
    <t>Pebbles</t>
  </si>
  <si>
    <t>Bobtail</t>
  </si>
  <si>
    <t>Sammy</t>
  </si>
  <si>
    <t>Blue checker collar with bell</t>
  </si>
  <si>
    <t>Ella</t>
  </si>
  <si>
    <t>Penelope</t>
  </si>
  <si>
    <t>Found in woods</t>
  </si>
  <si>
    <t>Queen</t>
  </si>
  <si>
    <t>Arrow</t>
  </si>
  <si>
    <t>wounds on legs</t>
  </si>
  <si>
    <t>Smokey</t>
  </si>
  <si>
    <t>Cleo</t>
  </si>
  <si>
    <t>Ivy</t>
  </si>
  <si>
    <t>Gunter</t>
  </si>
  <si>
    <t>Minka</t>
  </si>
  <si>
    <t>Popeye</t>
  </si>
  <si>
    <t>Socks</t>
  </si>
  <si>
    <t>Trap / wild</t>
  </si>
  <si>
    <t>Persian</t>
  </si>
  <si>
    <t>Sadie</t>
  </si>
  <si>
    <t>Opal</t>
  </si>
  <si>
    <t>Selene</t>
  </si>
  <si>
    <t>Isla</t>
  </si>
  <si>
    <t>Bear</t>
  </si>
  <si>
    <t>Nitro</t>
  </si>
  <si>
    <t>Dash</t>
  </si>
  <si>
    <t>Charleene</t>
  </si>
  <si>
    <t>Pregnant</t>
  </si>
  <si>
    <t>Ollie</t>
  </si>
  <si>
    <t>Genevieve</t>
  </si>
  <si>
    <t>Gabby</t>
  </si>
  <si>
    <t>Black Collar - Pregnant</t>
  </si>
  <si>
    <t>Born today</t>
  </si>
  <si>
    <t>Tilly</t>
  </si>
  <si>
    <t>Serena</t>
  </si>
  <si>
    <t>Sienna</t>
  </si>
  <si>
    <t>Midnight</t>
  </si>
  <si>
    <t>Snickers</t>
  </si>
  <si>
    <t>Oscar</t>
  </si>
  <si>
    <t>Zelda</t>
  </si>
  <si>
    <t>Maxwell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</si>
  <si>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</si>
  <si>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</si>
  <si>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</si>
  <si>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</si>
  <si>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</si>
  <si>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</si>
  <si>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</si>
  <si>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</si>
  <si>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</si>
  <si>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</si>
  <si>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</si>
  <si>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</si>
  <si>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Intakes</t>
  </si>
  <si>
    <t>Sick feral</t>
  </si>
  <si>
    <t>Siri</t>
  </si>
  <si>
    <t>Lola</t>
  </si>
  <si>
    <t>Louie</t>
  </si>
  <si>
    <t>Louey</t>
  </si>
  <si>
    <t>Pearl</t>
  </si>
  <si>
    <t>Reggie</t>
  </si>
  <si>
    <t>Tessa</t>
  </si>
  <si>
    <t>Peahes</t>
  </si>
  <si>
    <t>Sugar</t>
  </si>
  <si>
    <t>Sam</t>
  </si>
  <si>
    <t>Mara</t>
  </si>
  <si>
    <t>Ashby</t>
  </si>
  <si>
    <t>Pumpkin</t>
  </si>
  <si>
    <t>Wicca</t>
  </si>
  <si>
    <t>Pregnant / Wild</t>
  </si>
  <si>
    <t>Ravi</t>
  </si>
  <si>
    <t>Born here</t>
  </si>
  <si>
    <t>Hit by car</t>
  </si>
  <si>
    <t>pregnant</t>
  </si>
  <si>
    <t>died at shelter</t>
  </si>
  <si>
    <t>Jasper</t>
  </si>
  <si>
    <t>Cinnamon</t>
  </si>
  <si>
    <t>Ember</t>
  </si>
  <si>
    <t>Indigo</t>
  </si>
  <si>
    <t>Della</t>
  </si>
  <si>
    <t>Mother</t>
  </si>
  <si>
    <t>Fisky</t>
  </si>
  <si>
    <t>Rusty</t>
  </si>
  <si>
    <t>Fluffy</t>
  </si>
  <si>
    <t>wild / pregnant</t>
  </si>
  <si>
    <t>Connie</t>
  </si>
  <si>
    <t>Neuro problems</t>
  </si>
  <si>
    <t>3 holes in stomach</t>
  </si>
  <si>
    <t>Abandoned</t>
  </si>
  <si>
    <t>very sick</t>
  </si>
  <si>
    <t>very sick / skinny</t>
  </si>
  <si>
    <t>sick</t>
  </si>
  <si>
    <t>fleas</t>
  </si>
  <si>
    <t>Moomoo</t>
  </si>
  <si>
    <t>T'Challa</t>
  </si>
  <si>
    <t>Janet</t>
  </si>
  <si>
    <t>Tippy Toes</t>
  </si>
  <si>
    <t>trapped</t>
  </si>
  <si>
    <t>dying / euth per vet</t>
  </si>
  <si>
    <t>injured / broken back</t>
  </si>
  <si>
    <t>euth for owner</t>
  </si>
  <si>
    <t>hit by car</t>
  </si>
  <si>
    <t>Sick / euth rec from vet</t>
  </si>
  <si>
    <t>euth per vet</t>
  </si>
  <si>
    <t>per vet</t>
  </si>
  <si>
    <t>mean</t>
  </si>
  <si>
    <t>Smokey Joe</t>
  </si>
  <si>
    <t>Sugar Bear</t>
  </si>
  <si>
    <t>Marrigold</t>
  </si>
  <si>
    <t>Sick / per vet</t>
  </si>
  <si>
    <t>Aqua</t>
  </si>
  <si>
    <t>Achria</t>
  </si>
  <si>
    <t>Van Gogh</t>
  </si>
  <si>
    <t>Ziggy</t>
  </si>
  <si>
    <t>Bliss</t>
  </si>
  <si>
    <t>Bleek</t>
  </si>
  <si>
    <t>sick / missing eye</t>
  </si>
  <si>
    <t>Sams club</t>
  </si>
  <si>
    <t>Romeo</t>
  </si>
  <si>
    <t>BeeBee</t>
  </si>
  <si>
    <t>Injured / missing nose</t>
  </si>
  <si>
    <t>Mocha</t>
  </si>
  <si>
    <t>Mother of puppies</t>
  </si>
  <si>
    <t>River</t>
  </si>
  <si>
    <t>Fox Hound</t>
  </si>
  <si>
    <t>Husky</t>
  </si>
  <si>
    <t>Juney</t>
  </si>
  <si>
    <t>Bully x</t>
  </si>
  <si>
    <t>Euth for owner</t>
  </si>
  <si>
    <t>Sheepdog</t>
  </si>
  <si>
    <t>Noble</t>
  </si>
  <si>
    <t>Puppy</t>
  </si>
  <si>
    <t>Jack Russ x</t>
  </si>
  <si>
    <t>Puddin</t>
  </si>
  <si>
    <t>Court hearing</t>
  </si>
  <si>
    <t>Luna</t>
  </si>
  <si>
    <t>Kira</t>
  </si>
  <si>
    <t>Labradoodle</t>
  </si>
  <si>
    <t>Lab / GS x</t>
  </si>
  <si>
    <t>Mini Schnauzer</t>
  </si>
  <si>
    <t>Husher</t>
  </si>
  <si>
    <t>French Bulldog</t>
  </si>
  <si>
    <t>Prolapse</t>
  </si>
  <si>
    <t>Roxie</t>
  </si>
  <si>
    <t>Dupe</t>
  </si>
  <si>
    <t>Duke</t>
  </si>
  <si>
    <t>Toot</t>
  </si>
  <si>
    <t>Minnie</t>
  </si>
  <si>
    <t>Adoption fee paid / food aggressive</t>
  </si>
  <si>
    <t>Lulu</t>
  </si>
  <si>
    <t>Aus Cattle Dog</t>
  </si>
  <si>
    <t>Sparco</t>
  </si>
  <si>
    <t>Clyde</t>
  </si>
  <si>
    <t>Pomeranian x</t>
  </si>
  <si>
    <t>Yoyo</t>
  </si>
  <si>
    <t>Squirt</t>
  </si>
  <si>
    <t>Sassy</t>
  </si>
  <si>
    <t>Smoke</t>
  </si>
  <si>
    <t>per owner</t>
  </si>
  <si>
    <t>Jack</t>
  </si>
  <si>
    <t>Jill</t>
  </si>
  <si>
    <t>Chi / Papillon x</t>
  </si>
  <si>
    <t>German Shep / Chi</t>
  </si>
  <si>
    <t>Izzy</t>
  </si>
  <si>
    <t>Lucy</t>
  </si>
  <si>
    <t>Fat Boy</t>
  </si>
  <si>
    <t>Sweet Girl</t>
  </si>
  <si>
    <t>Snoopy</t>
  </si>
  <si>
    <t>Sweet Boy</t>
  </si>
  <si>
    <t>Cutie</t>
  </si>
  <si>
    <t>Deva</t>
  </si>
  <si>
    <t>Bully / Pit x</t>
  </si>
  <si>
    <t>not friendly</t>
  </si>
  <si>
    <t>prolapse / euth per vet</t>
  </si>
  <si>
    <t>Penny</t>
  </si>
  <si>
    <t>Wally</t>
  </si>
  <si>
    <t>Selena</t>
  </si>
  <si>
    <t>aggressive</t>
  </si>
  <si>
    <t>Pugsley</t>
  </si>
  <si>
    <t>Rottweiler x</t>
  </si>
  <si>
    <t>Carlie</t>
  </si>
  <si>
    <t>Amer Bulldog</t>
  </si>
  <si>
    <t>Nala</t>
  </si>
  <si>
    <t>Kennel cough</t>
  </si>
  <si>
    <t>Brd Collie x</t>
  </si>
  <si>
    <t>Slink</t>
  </si>
  <si>
    <t>Heart</t>
  </si>
  <si>
    <t>Catahoula Leopard</t>
  </si>
  <si>
    <t>Ryelow</t>
  </si>
  <si>
    <t xml:space="preserve">Lab / Pit </t>
  </si>
  <si>
    <t>Benny</t>
  </si>
  <si>
    <t>Big Dog</t>
  </si>
  <si>
    <t>Belg Mal</t>
  </si>
  <si>
    <t>Yorkie</t>
  </si>
  <si>
    <t>Toby Keith</t>
  </si>
  <si>
    <t>Theo</t>
  </si>
  <si>
    <t>Dach / Poodle x</t>
  </si>
  <si>
    <t>Marley</t>
  </si>
  <si>
    <t>Star</t>
  </si>
  <si>
    <t>Golden Ret</t>
  </si>
  <si>
    <t>Rex</t>
  </si>
  <si>
    <t>Piper</t>
  </si>
  <si>
    <t>Bulldog</t>
  </si>
  <si>
    <t>Hazel</t>
  </si>
  <si>
    <t>Sphinx</t>
  </si>
  <si>
    <t>Patty</t>
  </si>
  <si>
    <t>Cocker Spaniel x</t>
  </si>
  <si>
    <t>Loki</t>
  </si>
  <si>
    <t>Thor</t>
  </si>
  <si>
    <t>Dale</t>
  </si>
  <si>
    <t>German Shep / Husky</t>
  </si>
  <si>
    <t>Rye</t>
  </si>
  <si>
    <t>Poodle x</t>
  </si>
  <si>
    <t>Brd Collie</t>
  </si>
  <si>
    <t>ShihTzu / Chi</t>
  </si>
  <si>
    <t>Mira</t>
  </si>
  <si>
    <t>Winnie</t>
  </si>
  <si>
    <t>Boxer x</t>
  </si>
  <si>
    <t>Boxer</t>
  </si>
  <si>
    <t>Dolly</t>
  </si>
  <si>
    <t>Walker Hound</t>
  </si>
  <si>
    <t>Blue Heeler x</t>
  </si>
  <si>
    <t>Lilly</t>
  </si>
  <si>
    <t xml:space="preserve">Chi </t>
  </si>
  <si>
    <t>Per owner</t>
  </si>
  <si>
    <t>Pug</t>
  </si>
  <si>
    <t>Maltese</t>
  </si>
  <si>
    <t>Yorkie x</t>
  </si>
  <si>
    <t>Dach x</t>
  </si>
  <si>
    <t>Sharpei</t>
  </si>
  <si>
    <t xml:space="preserve">Dach </t>
  </si>
  <si>
    <t>Sky</t>
  </si>
  <si>
    <t>English Bulldog</t>
  </si>
  <si>
    <t>Blu</t>
  </si>
  <si>
    <t>at vet</t>
  </si>
  <si>
    <t>Sosa</t>
  </si>
  <si>
    <t>Mya</t>
  </si>
  <si>
    <t>Dutch</t>
  </si>
  <si>
    <t>Solder</t>
  </si>
  <si>
    <t>Brown</t>
  </si>
  <si>
    <t>Nieve</t>
  </si>
  <si>
    <t>Spot</t>
  </si>
  <si>
    <t>Serenity</t>
  </si>
  <si>
    <t>eyes look sick</t>
  </si>
  <si>
    <t>Mufasa</t>
  </si>
  <si>
    <t xml:space="preserve">Lab </t>
  </si>
  <si>
    <t>%</t>
  </si>
  <si>
    <t>for owner</t>
  </si>
  <si>
    <t>Bow</t>
  </si>
  <si>
    <t>Poodle / Yorkie</t>
  </si>
  <si>
    <t>Eddie</t>
  </si>
  <si>
    <t>Symba</t>
  </si>
  <si>
    <t>Suede</t>
  </si>
  <si>
    <t>Gidget</t>
  </si>
  <si>
    <t>Reese</t>
  </si>
  <si>
    <t>Dying</t>
  </si>
  <si>
    <t>ShihTzu / Poodle</t>
  </si>
  <si>
    <t>Peanut Butter</t>
  </si>
  <si>
    <t>Eng Mastiff</t>
  </si>
  <si>
    <t>bite hold</t>
  </si>
  <si>
    <t>Bennett</t>
  </si>
  <si>
    <t>Sprout</t>
  </si>
  <si>
    <t>Nilla</t>
  </si>
  <si>
    <t>Marble</t>
  </si>
  <si>
    <t>Chewy</t>
  </si>
  <si>
    <t>Cocoa</t>
  </si>
  <si>
    <t>Roxanne</t>
  </si>
  <si>
    <t>Pom / Chi</t>
  </si>
  <si>
    <t>Sneaker</t>
  </si>
  <si>
    <t>Scrappy</t>
  </si>
  <si>
    <t>Moo</t>
  </si>
  <si>
    <t>Ombre</t>
  </si>
  <si>
    <t>Cash</t>
  </si>
  <si>
    <t>Papilion</t>
  </si>
  <si>
    <t>Doberman</t>
  </si>
  <si>
    <t>Ricco</t>
  </si>
  <si>
    <t>Nico</t>
  </si>
  <si>
    <t>Jester</t>
  </si>
  <si>
    <t>Bentlee</t>
  </si>
  <si>
    <t>Cain Corso</t>
  </si>
  <si>
    <t>Lucky</t>
  </si>
  <si>
    <t>Sunday</t>
  </si>
  <si>
    <t>had 10 puppies 7/1</t>
  </si>
  <si>
    <t>Hansel</t>
  </si>
  <si>
    <t>per owner?</t>
  </si>
  <si>
    <t>Remi</t>
  </si>
  <si>
    <t>Aussie x</t>
  </si>
  <si>
    <t>RTO / Returned to Owner</t>
  </si>
  <si>
    <t>DOA or Died at Shelter</t>
  </si>
  <si>
    <t>Jet</t>
  </si>
  <si>
    <t>Reason for Euth</t>
  </si>
  <si>
    <t>N/A</t>
  </si>
  <si>
    <t>Space</t>
  </si>
  <si>
    <t>Injured/Sick</t>
  </si>
  <si>
    <t>Owner Request</t>
  </si>
  <si>
    <t>Domino</t>
  </si>
  <si>
    <t>Percy</t>
  </si>
  <si>
    <t>Trapped</t>
  </si>
  <si>
    <t>Simon</t>
  </si>
  <si>
    <t>Dangerous</t>
  </si>
  <si>
    <t>Reason for Euthanasia</t>
  </si>
  <si>
    <t>Owner Req</t>
  </si>
  <si>
    <t>Scared / tried to bite</t>
  </si>
  <si>
    <t>Grows at employees</t>
  </si>
  <si>
    <t>Sir</t>
  </si>
  <si>
    <t>HW Positive</t>
  </si>
  <si>
    <t>VA Beach SPCA</t>
  </si>
  <si>
    <t>Gigi</t>
  </si>
  <si>
    <t>Stella</t>
  </si>
  <si>
    <t>Autumn</t>
  </si>
  <si>
    <t>Owner left her at house</t>
  </si>
  <si>
    <t>Virginia Beach SPCA</t>
  </si>
  <si>
    <t>Frankie</t>
  </si>
  <si>
    <t>Aspen</t>
  </si>
  <si>
    <t>Dog Aggressive</t>
  </si>
  <si>
    <t>Hold for dangerous dog hearing</t>
  </si>
  <si>
    <t>OG</t>
  </si>
  <si>
    <t>Tyson</t>
  </si>
  <si>
    <t>Jalana</t>
  </si>
  <si>
    <t>Clover</t>
  </si>
  <si>
    <t>Monday</t>
  </si>
  <si>
    <t>Tuesday</t>
  </si>
  <si>
    <t>Thursday</t>
  </si>
  <si>
    <t>Friday</t>
  </si>
  <si>
    <t>Saturday</t>
  </si>
  <si>
    <t>Not Friendly</t>
  </si>
  <si>
    <t>Pit / Hound x</t>
  </si>
  <si>
    <t xml:space="preserve">Grt Dane  </t>
  </si>
  <si>
    <t>Willow</t>
  </si>
  <si>
    <t>Grt Dane / Aus Shep</t>
  </si>
  <si>
    <t>Grt Dane x</t>
  </si>
  <si>
    <t>Baby Girl</t>
  </si>
  <si>
    <t>Shih Tzu x</t>
  </si>
  <si>
    <t>Onyx</t>
  </si>
  <si>
    <t>brought in by police</t>
  </si>
  <si>
    <t xml:space="preserve">Hound  </t>
  </si>
  <si>
    <t>Mother of 7 puppies / see record</t>
  </si>
  <si>
    <t>9 wk old puppy / owner said they are "Aggressive" to each other</t>
  </si>
  <si>
    <t>Sick?</t>
  </si>
  <si>
    <t xml:space="preserve">Yorkie  </t>
  </si>
  <si>
    <t>Bite case</t>
  </si>
  <si>
    <t>Ringworm</t>
  </si>
  <si>
    <t>Born to 41317 who was euth 8/12</t>
  </si>
  <si>
    <t>Born to 41317 who was euth the same day</t>
  </si>
  <si>
    <t>Born to 41317</t>
  </si>
  <si>
    <t>Caught in trap</t>
  </si>
  <si>
    <t>Ceaser</t>
  </si>
  <si>
    <t>Cutie Pie</t>
  </si>
  <si>
    <t>Gia</t>
  </si>
  <si>
    <t>Miso</t>
  </si>
  <si>
    <t>Record not updated</t>
  </si>
  <si>
    <t>Mother of kittens??</t>
  </si>
  <si>
    <t>Nyla</t>
  </si>
  <si>
    <t>Maggots on back end</t>
  </si>
  <si>
    <t>4 weeks old</t>
  </si>
  <si>
    <t>Mother of kittens?</t>
  </si>
  <si>
    <t>Mom and 2 babies found on street</t>
  </si>
  <si>
    <t>1 week old</t>
  </si>
  <si>
    <t>5 wks old but record said unweaned and sick</t>
  </si>
  <si>
    <t>8 weeks old</t>
  </si>
  <si>
    <t>5 weeks old</t>
  </si>
  <si>
    <t>Day of the Week</t>
  </si>
  <si>
    <t>Can Corso</t>
  </si>
  <si>
    <t>Was at AMC</t>
  </si>
  <si>
    <t>Rod Ridgeback</t>
  </si>
  <si>
    <t>Housebroken, good with kids</t>
  </si>
  <si>
    <t>Scared</t>
  </si>
  <si>
    <t xml:space="preserve">Pit   </t>
  </si>
  <si>
    <t>Gimpy</t>
  </si>
  <si>
    <t>Left rear food chewed off by mother at birth</t>
  </si>
  <si>
    <t>Amer Eskimo</t>
  </si>
  <si>
    <t>Good with kids, no cats</t>
  </si>
  <si>
    <t>Dutchess</t>
  </si>
  <si>
    <t>Good with kids</t>
  </si>
  <si>
    <t>Missign hair and skinny / see ACO Crouder / Sick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</si>
</sst>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10" x14ac:knownFonts="1"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b/>
      <sz val="14"/>
      <color theme="1"/>
      <name val="Aptos Narrow"/>
      <scheme val="minor"/>
    </font>
    <font>
      <sz val="8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8"/>
      <color theme="1"/>
      <name val="Aptos Narrow"/>
      <scheme val="minor"/>
    </font>
    <font>
      <b/>
      <u/>
      <sz val="12"/>
      <color theme="10"/>
      <name val="Aptos Narrow"/>
      <scheme val="minor"/>
    </font>
    <font>
      <u/>
      <sz val="12"/>
      <color theme="1"/>
      <name val="Aptos Narrow"/>
      <family val="2"/>
      <scheme val="minor"/>
    </font>
    <font>
      <sz val="12"/>
      <color theme="1"/>
      <name val="Aptos Narrow"/>
      <scheme val="minor"/>
    </font>
    <font>
      <b/>
      <sz val="12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D7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1" fillId="0" borderId="0" xfId="1" applyAlignment="1">
      <alignment horizontal="left"/>
    </xf>
    <xf numFmtId="0" fontId="0" fillId="3" borderId="0" xfId="0" applyFill="1"/>
    <xf numFmtId="1" fontId="0" fillId="0" borderId="0" xfId="0" applyNumberFormat="1" applyAlignment="1">
      <alignment horizontal="left"/>
    </xf>
    <xf numFmtId="1" fontId="0" fillId="2" borderId="0" xfId="0" applyNumberFormat="1" applyFill="1" applyAlignment="1">
      <alignment horizontal="center"/>
    </xf>
    <xf numFmtId="0" fontId="0" fillId="2" borderId="0" xfId="0" applyFill="1" applyAlignment="1">
      <alignment horizontal="left"/>
    </xf>
    <xf numFmtId="0" fontId="0" fillId="4" borderId="0" xfId="0" applyFill="1"/>
    <xf numFmtId="0" fontId="0" fillId="5" borderId="0" xfId="0" applyFill="1"/>
    <xf numFmtId="0" fontId="2" fillId="4" borderId="0" xfId="0" applyFont="1" applyFill="1"/>
    <xf numFmtId="0" fontId="2" fillId="0" borderId="0" xfId="0" applyFont="1"/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164" fontId="0" fillId="5" borderId="0" xfId="0" applyNumberFormat="1" applyFill="1" applyAlignment="1">
      <alignment horizontal="left"/>
    </xf>
    <xf numFmtId="9" fontId="5" fillId="7" borderId="0" xfId="0" applyNumberFormat="1" applyFont="1" applyFill="1" applyAlignment="1">
      <alignment vertical="center"/>
    </xf>
    <xf numFmtId="0" fontId="4" fillId="7" borderId="0" xfId="0" applyFont="1" applyFill="1"/>
    <xf numFmtId="0" fontId="4" fillId="0" borderId="0" xfId="0" applyFont="1"/>
    <xf numFmtId="9" fontId="0" fillId="5" borderId="0" xfId="0" applyNumberFormat="1" applyFill="1"/>
    <xf numFmtId="16" fontId="0" fillId="5" borderId="0" xfId="0" applyNumberFormat="1" applyFill="1"/>
    <xf numFmtId="0" fontId="4" fillId="0" borderId="0" xfId="0" applyFont="1" applyAlignment="1">
      <alignment horizontal="left"/>
    </xf>
    <xf numFmtId="1" fontId="0" fillId="5" borderId="0" xfId="0" applyNumberFormat="1" applyFill="1" applyAlignment="1">
      <alignment horizontal="left"/>
    </xf>
    <xf numFmtId="0" fontId="6" fillId="0" borderId="0" xfId="1" applyFont="1" applyAlignment="1">
      <alignment horizontal="left"/>
    </xf>
    <xf numFmtId="0" fontId="6" fillId="5" borderId="0" xfId="1" applyFont="1" applyFill="1" applyAlignment="1">
      <alignment horizontal="left"/>
    </xf>
    <xf numFmtId="0" fontId="6" fillId="0" borderId="0" xfId="1" applyFont="1" applyFill="1" applyAlignment="1">
      <alignment horizontal="left"/>
    </xf>
    <xf numFmtId="0" fontId="7" fillId="0" borderId="0" xfId="0" applyFont="1" applyAlignment="1">
      <alignment horizontal="left"/>
    </xf>
    <xf numFmtId="0" fontId="1" fillId="0" borderId="0" xfId="1" applyFill="1" applyAlignment="1">
      <alignment horizontal="left"/>
    </xf>
    <xf numFmtId="0" fontId="5" fillId="6" borderId="0" xfId="0" applyFont="1" applyFill="1" applyAlignment="1">
      <alignment horizontal="center" vertical="center"/>
    </xf>
    <xf numFmtId="9" fontId="5" fillId="7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left"/>
    </xf>
    <xf numFmtId="164" fontId="0" fillId="3" borderId="0" xfId="0" applyNumberFormat="1" applyFill="1" applyAlignment="1">
      <alignment horizontal="left"/>
    </xf>
    <xf numFmtId="0" fontId="5" fillId="6" borderId="0" xfId="0" applyFont="1" applyFill="1" applyAlignment="1">
      <alignment vertical="center"/>
    </xf>
    <xf numFmtId="0" fontId="0" fillId="8" borderId="0" xfId="0" applyFill="1" applyAlignment="1">
      <alignment horizontal="center"/>
    </xf>
    <xf numFmtId="0" fontId="9" fillId="8" borderId="0" xfId="0" applyFont="1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left"/>
    </xf>
    <xf numFmtId="0" fontId="7" fillId="2" borderId="0" xfId="0" applyFont="1" applyFill="1" applyAlignment="1">
      <alignment horizontal="left"/>
    </xf>
    <xf numFmtId="0" fontId="5" fillId="6" borderId="0" xfId="0" applyFont="1" applyFill="1" applyAlignment="1">
      <alignment horizontal="center" vertical="center"/>
    </xf>
    <xf numFmtId="9" fontId="5" fillId="6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9" fontId="5" fillId="7" borderId="0" xfId="0" applyNumberFormat="1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D78"/>
      <color rgb="FFEAEB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dropbox.com/scl/fi/y7vj9en6jo6d6puaualn9/41015.pdf?rlkey=x2hhgx0kjhbsmj3llf8brv6gy&amp;dl=0" TargetMode="External"/><Relationship Id="rId671" Type="http://schemas.openxmlformats.org/officeDocument/2006/relationships/hyperlink" Target="https://www.dropbox.com/scl/fi/lazi3n1cvtwhgrkko0nww/40421.pdf?rlkey=ux03l43s0bvy7c76p5oxmvuh5&amp;dl=0" TargetMode="External"/><Relationship Id="rId769" Type="http://schemas.openxmlformats.org/officeDocument/2006/relationships/hyperlink" Target="https://www.dropbox.com/scl/fi/fylqmbabkeroiulo7anxz/40713.pdf?rlkey=l0mify1re66vjw6dxn5yd5xv4&amp;dl=0" TargetMode="External"/><Relationship Id="rId976" Type="http://schemas.openxmlformats.org/officeDocument/2006/relationships/hyperlink" Target="https://www.dropbox.com/scl/fi/bbpvu8vfq0iom79lcrz7p/41628.pdf?rlkey=ciabqzsca734039ajcwizqffr&amp;dl=0" TargetMode="External"/><Relationship Id="rId21" Type="http://schemas.openxmlformats.org/officeDocument/2006/relationships/hyperlink" Target="https://www.dropbox.com/scl/fi/esuojhzr0yj7ixwlfth9y/41314.pdf?rlkey=q7urpa3oiq1qjbtxsblv2v8fc&amp;dl=0" TargetMode="External"/><Relationship Id="rId324" Type="http://schemas.openxmlformats.org/officeDocument/2006/relationships/hyperlink" Target="https://www.dropbox.com/scl/fi/hfnidi31l3so0flpytwkw/39713.pdf?rlkey=s3l6p2u6xzpinmvc925t9sm0z&amp;dl=0" TargetMode="External"/><Relationship Id="rId531" Type="http://schemas.openxmlformats.org/officeDocument/2006/relationships/hyperlink" Target="https://www.dropbox.com/scl/fi/1daodxml3j3d88bp245ov/40183.pdf?rlkey=d1zqcfkukvdenf94rl4y8u1we&amp;dl=0" TargetMode="External"/><Relationship Id="rId629" Type="http://schemas.openxmlformats.org/officeDocument/2006/relationships/hyperlink" Target="https://www.dropbox.com/scl/fi/bewirvyt5ayv1afasyqgt/40338.pdf?rlkey=zs0wjwu7s6v2yujj2g2o62zht&amp;dl=0" TargetMode="External"/><Relationship Id="rId170" Type="http://schemas.openxmlformats.org/officeDocument/2006/relationships/hyperlink" Target="https://www.dropbox.com/scl/fi/4el0o79kxggt6hsz10li0/41211.pdf?rlkey=xc5gj7b3ipo3fk91wgt8l8u9h&amp;dl=0" TargetMode="External"/><Relationship Id="rId836" Type="http://schemas.openxmlformats.org/officeDocument/2006/relationships/hyperlink" Target="https://www.dropbox.com/scl/fi/6kwexumrf4zgmbt2innn9/40906.pdf?rlkey=xqq4wmwmowgrgnwgg4bk3woiw&amp;dl=0" TargetMode="External"/><Relationship Id="rId268" Type="http://schemas.openxmlformats.org/officeDocument/2006/relationships/hyperlink" Target="https://www.dropbox.com/scl/fi/1nmdij0tcqnm56q2jzs24/39559.pdf?rlkey=qbysffimuv8b5tmhufh8e2jfy&amp;dl=0" TargetMode="External"/><Relationship Id="rId475" Type="http://schemas.openxmlformats.org/officeDocument/2006/relationships/hyperlink" Target="https://www.dropbox.com/scl/fi/tqpzp1otqoxp4vbeukz9s/40052.pdf?rlkey=nm17qf0h3nm76yikug82fm5em&amp;dl=0" TargetMode="External"/><Relationship Id="rId682" Type="http://schemas.openxmlformats.org/officeDocument/2006/relationships/hyperlink" Target="https://www.dropbox.com/scl/fi/5mddc83k260r7018jb3v0/40438.pdf?rlkey=53cgi0vcf4x3k4gwshf6w87cy&amp;dl=0" TargetMode="External"/><Relationship Id="rId903" Type="http://schemas.openxmlformats.org/officeDocument/2006/relationships/hyperlink" Target="https://www.dropbox.com/scl/fi/p5q34rumnp76j6wk8jm02/41467.pdf?rlkey=vbbz8vxs00bz3t2mm8usp7mg8&amp;dl=0" TargetMode="External"/><Relationship Id="rId32" Type="http://schemas.openxmlformats.org/officeDocument/2006/relationships/hyperlink" Target="https://www.dropbox.com/scl/fi/lzs4bgji42nhuimp5w2kh/40945.pdf?rlkey=3glxgyxlp42zcyg9zwmj1pkq5&amp;dl=0" TargetMode="External"/><Relationship Id="rId128" Type="http://schemas.openxmlformats.org/officeDocument/2006/relationships/hyperlink" Target="https://www.dropbox.com/scl/fi/7wtagm779zn9ej7xgo1wt/41060.pdf?rlkey=4fft4f7dsnhqhbwq0n7rwz4b3&amp;dl=0" TargetMode="External"/><Relationship Id="rId335" Type="http://schemas.openxmlformats.org/officeDocument/2006/relationships/hyperlink" Target="https://www.dropbox.com/scl/fi/avqds4clu1123bl939z30/39735.pdf?rlkey=k2ac6ag04k8xfahjkd2g9yv5q&amp;dl=0" TargetMode="External"/><Relationship Id="rId542" Type="http://schemas.openxmlformats.org/officeDocument/2006/relationships/hyperlink" Target="https://www.dropbox.com/scl/fi/b6e8qvojs8y1e5zp69hkg/40197.pdf?rlkey=u25z3y0fvtario5fqtkk5bzsq&amp;dl=0" TargetMode="External"/><Relationship Id="rId987" Type="http://schemas.openxmlformats.org/officeDocument/2006/relationships/hyperlink" Target="https://www.dropbox.com/scl/fi/t55t3z24zzuyq1gqoi41e/41653.pdf?rlkey=z6zdqbk6yr37x2hromkdfs68j&amp;dl=0" TargetMode="External"/><Relationship Id="rId181" Type="http://schemas.openxmlformats.org/officeDocument/2006/relationships/hyperlink" Target="https://www.dropbox.com/scl/fi/52y7b9hs8k2p7bnrbds9t/41278.pdf?rlkey=257oz5xxdycc3thzn6ib45cvn&amp;dl=0" TargetMode="External"/><Relationship Id="rId402" Type="http://schemas.openxmlformats.org/officeDocument/2006/relationships/hyperlink" Target="https://www.dropbox.com/scl/fi/2fes541tovrlwa1an69tk/39892.pdf?rlkey=apeajapspax88nd16u00kdg2k&amp;dl=0" TargetMode="External"/><Relationship Id="rId847" Type="http://schemas.openxmlformats.org/officeDocument/2006/relationships/hyperlink" Target="https://www.dropbox.com/scl/fi/iffrhy04zf39ckiwk2y31/40961.pdf?rlkey=nl761pzzr27g6ok0f04jqfm4y&amp;dl=0" TargetMode="External"/><Relationship Id="rId279" Type="http://schemas.openxmlformats.org/officeDocument/2006/relationships/hyperlink" Target="https://www.dropbox.com/scl/fi/klnsrdjrgtdbapl5tjdgi/39594.pdf?rlkey=paesjt1ddr3nh1zq0la3jx6w7&amp;dl=0" TargetMode="External"/><Relationship Id="rId486" Type="http://schemas.openxmlformats.org/officeDocument/2006/relationships/hyperlink" Target="https://www.dropbox.com/scl/fi/kl3mnchm0ggvznjehyb8i/40066.pdf?rlkey=hvor837vfzgzjgnpdy7a7ld6l&amp;dl=0" TargetMode="External"/><Relationship Id="rId693" Type="http://schemas.openxmlformats.org/officeDocument/2006/relationships/hyperlink" Target="https://www.dropbox.com/scl/fi/81wnxdncrgg3x8xo688gv/40455.pdf?rlkey=u54k4ni33cebzc7awrcd3lk15&amp;dl=0" TargetMode="External"/><Relationship Id="rId707" Type="http://schemas.openxmlformats.org/officeDocument/2006/relationships/hyperlink" Target="https://www.dropbox.com/scl/fi/mttw4gipploss6gq78oar/40477.pdf?rlkey=enokdxtl04u5r60hyt4gvspyd&amp;dl=0" TargetMode="External"/><Relationship Id="rId914" Type="http://schemas.openxmlformats.org/officeDocument/2006/relationships/hyperlink" Target="https://www.dropbox.com/scl/fi/5kp352cfydxxhq1tgj01b/41483.pdf?rlkey=pc23jm2rxg0fg10m2749j4lz3&amp;dl=0" TargetMode="External"/><Relationship Id="rId43" Type="http://schemas.openxmlformats.org/officeDocument/2006/relationships/hyperlink" Target="https://www.dropbox.com/scl/fi/12oorms9h5wlxam6axs2n/41099.pdf?rlkey=ikgw40t0olluqlpssmuj9xeoh&amp;dl=0" TargetMode="External"/><Relationship Id="rId139" Type="http://schemas.openxmlformats.org/officeDocument/2006/relationships/hyperlink" Target="https://www.dropbox.com/scl/fi/tcd9dqzjpmkoghtv6yluc/41119.pdf?rlkey=f39m96vpb0hudkwrz8a69cpiu&amp;dl=0" TargetMode="External"/><Relationship Id="rId346" Type="http://schemas.openxmlformats.org/officeDocument/2006/relationships/hyperlink" Target="https://www.dropbox.com/scl/fi/551rsj7jo5oxsxa6bxzp8/39749.pdf?rlkey=yeej6g4unhqy979x3wmc0fbir&amp;dl=0" TargetMode="External"/><Relationship Id="rId553" Type="http://schemas.openxmlformats.org/officeDocument/2006/relationships/hyperlink" Target="https://www.dropbox.com/scl/fi/iwwejd7pgb4tb0o9qbc5j/40213.pdf?rlkey=8o4e7pyg39gg0eexa2x89xnw6&amp;dl=0" TargetMode="External"/><Relationship Id="rId760" Type="http://schemas.openxmlformats.org/officeDocument/2006/relationships/hyperlink" Target="https://www.dropbox.com/scl/fi/7t8nouwmn7a9avu85v3u2/40703.pdf?rlkey=i2vb44pw9htuc42wvuzwtkuuc&amp;dl=0" TargetMode="External"/><Relationship Id="rId998" Type="http://schemas.openxmlformats.org/officeDocument/2006/relationships/hyperlink" Target="https://www.dropbox.com/scl/fi/vr891r0nkir8rau54bfz4/41675.pdf?rlkey=i5e51k7zq5eqjrk0xo409u4kb&amp;dl=0" TargetMode="External"/><Relationship Id="rId192" Type="http://schemas.openxmlformats.org/officeDocument/2006/relationships/hyperlink" Target="https://www.dropbox.com/scl/fi/3wqszztsi76ccas2r14xd/41351.pdf?rlkey=zleuskum77lrhkqxc5y3nq8vj&amp;dl=0" TargetMode="External"/><Relationship Id="rId206" Type="http://schemas.openxmlformats.org/officeDocument/2006/relationships/hyperlink" Target="https://www.dropbox.com/scl/fi/2brwj9afnrnfp330ti8ut/41372.pdf?rlkey=i80x7ysn0hc70k6qidcmv7w3y&amp;dl=0" TargetMode="External"/><Relationship Id="rId413" Type="http://schemas.openxmlformats.org/officeDocument/2006/relationships/hyperlink" Target="https://www.dropbox.com/scl/fi/9kkwkp9om171yp1qrth52/39924.pdf?rlkey=kftzsh6k16aeq6wl20p95e3wa&amp;dl=0" TargetMode="External"/><Relationship Id="rId858" Type="http://schemas.openxmlformats.org/officeDocument/2006/relationships/hyperlink" Target="https://www.dropbox.com/scl/fi/0qindq9sr696jsfdde295/41397.pdf?rlkey=ps1xzkossa3frab331zdi7f0g&amp;dl=0" TargetMode="External"/><Relationship Id="rId497" Type="http://schemas.openxmlformats.org/officeDocument/2006/relationships/hyperlink" Target="https://www.dropbox.com/scl/fi/1ht7b7asz5gy4yedceos1/40110.pdf?rlkey=jyengnz7xml0e9k8gsf03h25s&amp;dl=0" TargetMode="External"/><Relationship Id="rId620" Type="http://schemas.openxmlformats.org/officeDocument/2006/relationships/hyperlink" Target="https://www.dropbox.com/scl/fi/k2fd4ogcg68eagkejblg5/40321.pdf?rlkey=6awm4poj6fsbxn1nbkpwz35s5&amp;dl=0" TargetMode="External"/><Relationship Id="rId718" Type="http://schemas.openxmlformats.org/officeDocument/2006/relationships/hyperlink" Target="https://www.dropbox.com/scl/fi/873ma3rcbqkzyvibcxp1w/40495.pdf?rlkey=1hesi11uxdzqoaoszz6m26tj8&amp;dl=0" TargetMode="External"/><Relationship Id="rId925" Type="http://schemas.openxmlformats.org/officeDocument/2006/relationships/hyperlink" Target="https://www.dropbox.com/scl/fi/b3p7q7oz2u78sq4bpved1/41500.pdf?rlkey=3qx2wrgqvi0i05e8m0kmchwnx&amp;dl=0" TargetMode="External"/><Relationship Id="rId357" Type="http://schemas.openxmlformats.org/officeDocument/2006/relationships/hyperlink" Target="https://www.dropbox.com/scl/fi/zpv9iz76dbqvn2d4bhiuj/39786.pdf?rlkey=8j92u5ja609ssw5kdtmpxrd68&amp;dl=0" TargetMode="External"/><Relationship Id="rId54" Type="http://schemas.openxmlformats.org/officeDocument/2006/relationships/hyperlink" Target="https://www.dropbox.com/scl/fi/y0hdxr6dkyq5w0fec7p7w/41181.pdf?rlkey=c3ywxxzyzgujcvavc2otq5v9m&amp;dl=0" TargetMode="External"/><Relationship Id="rId217" Type="http://schemas.openxmlformats.org/officeDocument/2006/relationships/hyperlink" Target="https://www.dropbox.com/scl/fi/c28gj1qk5vo9e2icbptci/39012.pdf?rlkey=12sghabepj04ezcnam592id6a&amp;dl=0" TargetMode="External"/><Relationship Id="rId564" Type="http://schemas.openxmlformats.org/officeDocument/2006/relationships/hyperlink" Target="https://www.dropbox.com/scl/fi/eypf252lj1llp3b6ujdwq/40224.pdf?rlkey=xdl3cmcj2edkvwd3vx8xuq0yo&amp;dl=0" TargetMode="External"/><Relationship Id="rId771" Type="http://schemas.openxmlformats.org/officeDocument/2006/relationships/hyperlink" Target="https://www.dropbox.com/scl/fi/7ocrtwl6y8somng019rbp/40716.pdf?rlkey=88e0iupsqsslfoxbewqj3a88l&amp;dl=0" TargetMode="External"/><Relationship Id="rId869" Type="http://schemas.openxmlformats.org/officeDocument/2006/relationships/hyperlink" Target="https://www.dropbox.com/scl/fi/toe8euy9hwwd0olwkd8o6/41416-copy.pdf?rlkey=zeqkfc0nnoxusj3mvq05rqrpp&amp;dl=0" TargetMode="External"/><Relationship Id="rId424" Type="http://schemas.openxmlformats.org/officeDocument/2006/relationships/hyperlink" Target="https://www.dropbox.com/scl/fi/j1z92noxknx4718qrf6b2/39948.pdf?rlkey=tmuwf02s2kasy5ihud5idhx5t&amp;dl=0" TargetMode="External"/><Relationship Id="rId631" Type="http://schemas.openxmlformats.org/officeDocument/2006/relationships/hyperlink" Target="https://www.dropbox.com/scl/fi/sxs5w65kmfg0bpk19k0tk/40340.pdf?rlkey=28zmzi2z5fpoivad9olfvbqk5&amp;dl=0" TargetMode="External"/><Relationship Id="rId729" Type="http://schemas.openxmlformats.org/officeDocument/2006/relationships/hyperlink" Target="https://www.dropbox.com/scl/fi/k6w0k7vwukotkvme1u212/40510.pdf?rlkey=w392hncdjluxy7k77klzd2hry&amp;dl=0" TargetMode="External"/><Relationship Id="rId270" Type="http://schemas.openxmlformats.org/officeDocument/2006/relationships/hyperlink" Target="https://www.dropbox.com/scl/fi/a66vn7yka7lxi5m4lry9b/39565.pdf?rlkey=rwb3dx9s0v3d8f0uqewhec2n5&amp;dl=0" TargetMode="External"/><Relationship Id="rId936" Type="http://schemas.openxmlformats.org/officeDocument/2006/relationships/hyperlink" Target="https://www.dropbox.com/scl/fi/xvaapwv7cfs9lxsfvoa1d/41519.pdf?rlkey=ehvoqv83klcn94k2r3ysl7h1w&amp;dl=0" TargetMode="External"/><Relationship Id="rId65" Type="http://schemas.openxmlformats.org/officeDocument/2006/relationships/hyperlink" Target="https://www.dropbox.com/scl/fi/r4gusg4j5xrlvelpfmdg8/40122.pdf?rlkey=vzv58oc5wgf3g82cpollz0fnw&amp;dl=0" TargetMode="External"/><Relationship Id="rId130" Type="http://schemas.openxmlformats.org/officeDocument/2006/relationships/hyperlink" Target="https://www.dropbox.com/scl/fi/zklieyw1lx568z0hlpbdr/41062.pdf?rlkey=fc9creu44o6bcgcd6zuw1p4ci&amp;dl=0" TargetMode="External"/><Relationship Id="rId368" Type="http://schemas.openxmlformats.org/officeDocument/2006/relationships/hyperlink" Target="https://www.dropbox.com/scl/fi/ili767zgmskx8k0umkl6a/39806.pdf?rlkey=gpb1aeid4c1zbvqdkr4fn5ztj&amp;dl=0" TargetMode="External"/><Relationship Id="rId575" Type="http://schemas.openxmlformats.org/officeDocument/2006/relationships/hyperlink" Target="https://www.dropbox.com/scl/fi/63q5qpjlh0mgtba7pfgys/40237.pdf?rlkey=8kzbltwngr6bb7b354ylxzwan&amp;dl=0" TargetMode="External"/><Relationship Id="rId782" Type="http://schemas.openxmlformats.org/officeDocument/2006/relationships/hyperlink" Target="https://www.dropbox.com/scl/fi/20k4vdxgt1x42texgz9lz/40736.pdf?rlkey=wfftciitm3nmkapuv3pldvj22&amp;dl=0" TargetMode="External"/><Relationship Id="rId228" Type="http://schemas.openxmlformats.org/officeDocument/2006/relationships/hyperlink" Target="https://www.dropbox.com/scl/fi/0vu7mau8abt3re8g4ghe0/39439.pdf?rlkey=9v7ib29y79vucsjkzwatftt1s&amp;dl=0" TargetMode="External"/><Relationship Id="rId435" Type="http://schemas.openxmlformats.org/officeDocument/2006/relationships/hyperlink" Target="https://www.dropbox.com/scl/fi/cijnpco3aem2p5piiifj4/39965.pdf?rlkey=zuukul8sj68i8m9n6mzyfdnnh&amp;dl=0" TargetMode="External"/><Relationship Id="rId642" Type="http://schemas.openxmlformats.org/officeDocument/2006/relationships/hyperlink" Target="https://www.dropbox.com/scl/fi/f6vwjw3u9ufn85v4wxtcp/40362.pdf?rlkey=xfa2j1o8xuj7pj5ut54r5i5it&amp;dl=0" TargetMode="External"/><Relationship Id="rId281" Type="http://schemas.openxmlformats.org/officeDocument/2006/relationships/hyperlink" Target="https://www.dropbox.com/scl/fi/ex5jcon3egxpvoh7zdcwe/39597.pdf?rlkey=83iopix6mu3cc13nf94osqrtu&amp;dl=0" TargetMode="External"/><Relationship Id="rId502" Type="http://schemas.openxmlformats.org/officeDocument/2006/relationships/hyperlink" Target="https://www.dropbox.com/scl/fi/v3wbc55f1qa9zh6opq794/40121.pdf?rlkey=btswh5b2dmd7r0xvyb9h3e96y&amp;dl=0" TargetMode="External"/><Relationship Id="rId947" Type="http://schemas.openxmlformats.org/officeDocument/2006/relationships/hyperlink" Target="https://www.dropbox.com/scl/fi/gp38gqfvyydgiufgdh6sj/41543.pdf?rlkey=uih97l1h8xo2xaph45gnaudpd&amp;dl=0" TargetMode="External"/><Relationship Id="rId76" Type="http://schemas.openxmlformats.org/officeDocument/2006/relationships/hyperlink" Target="https://www.dropbox.com/scl/fi/rxlhk7jlpn7ts15e3w8xq/41205.pdf?rlkey=trznlrsuka7evv9po3mg3xg2q&amp;dl=0" TargetMode="External"/><Relationship Id="rId141" Type="http://schemas.openxmlformats.org/officeDocument/2006/relationships/hyperlink" Target="../../../../../Containers/com.microsoft.Excel/Data/Library/Application%20Support/Microsoft/41121.pdf" TargetMode="External"/><Relationship Id="rId379" Type="http://schemas.openxmlformats.org/officeDocument/2006/relationships/hyperlink" Target="https://www.dropbox.com/scl/fi/0itto1f6wc91yezre77kc/39837.pdf?rlkey=36ymk77if2mahwibib5hp2twi&amp;dl=0" TargetMode="External"/><Relationship Id="rId586" Type="http://schemas.openxmlformats.org/officeDocument/2006/relationships/hyperlink" Target="https://www.dropbox.com/scl/fi/vrkgudz0ewjy01uapont0/40276.pdf?rlkey=3ocgpynar6hk80lx6sbdtyeup&amp;dl=0" TargetMode="External"/><Relationship Id="rId793" Type="http://schemas.openxmlformats.org/officeDocument/2006/relationships/hyperlink" Target="https://www.dropbox.com/scl/fi/6t94le5inxbhvsbuw9s9k/40747.pdf?rlkey=9490s4mhnecqlqc8nujptlqhy&amp;dl=0" TargetMode="External"/><Relationship Id="rId807" Type="http://schemas.openxmlformats.org/officeDocument/2006/relationships/hyperlink" Target="https://www.dropbox.com/scl/fi/h20xzh2efc9oby6oqmvo4/40782.pdf?rlkey=ncexod8ud2s4jllmcmtyrd1j7&amp;dl=0" TargetMode="External"/><Relationship Id="rId7" Type="http://schemas.openxmlformats.org/officeDocument/2006/relationships/hyperlink" Target="https://www.dropbox.com/scl/fi/reqpfvx2v12zu6kafxkqt/40519.pdf?rlkey=h2tzpy9vqhrmbgblb6popy72x&amp;dl=0" TargetMode="External"/><Relationship Id="rId239" Type="http://schemas.openxmlformats.org/officeDocument/2006/relationships/hyperlink" Target="https://www.dropbox.com/scl/fi/hbha7zin3coscw6jdzwze/39468.pdf?rlkey=dll85iq7kspe3jb15ic5anb4c&amp;dl=0" TargetMode="External"/><Relationship Id="rId446" Type="http://schemas.openxmlformats.org/officeDocument/2006/relationships/hyperlink" Target="https://www.dropbox.com/scl/fi/9w37o7f5ylfy6yxtkbg79/39995.pdf?rlkey=xfyzx819jfeqxwktowndmy8rx&amp;dl=0" TargetMode="External"/><Relationship Id="rId653" Type="http://schemas.openxmlformats.org/officeDocument/2006/relationships/hyperlink" Target="https://www.dropbox.com/scl/fi/x9fxqi55sdaotwywdnyg1/40377.pdf?rlkey=oz052wkvq7rfunv6hdjtu8ymy&amp;dl=0" TargetMode="External"/><Relationship Id="rId292" Type="http://schemas.openxmlformats.org/officeDocument/2006/relationships/hyperlink" Target="https://www.dropbox.com/scl/fi/7qp5tu4v8xwj0bk6bb8d1/39618.pdf?rlkey=02kegwsjsm59leotevpixu8tr&amp;dl=0" TargetMode="External"/><Relationship Id="rId306" Type="http://schemas.openxmlformats.org/officeDocument/2006/relationships/hyperlink" Target="https://www.dropbox.com/scl/fi/pzr5x3qt7aq957e9kad6y/39650.pdf?rlkey=dos3xwei4rtg60fw84n4w41fs&amp;dl=0" TargetMode="External"/><Relationship Id="rId860" Type="http://schemas.openxmlformats.org/officeDocument/2006/relationships/hyperlink" Target="https://www.dropbox.com/scl/fi/34lw3bna86rz9epew6thg/41400.pdf?rlkey=1b943gzb78eqlgv201vziivxt&amp;dl=0" TargetMode="External"/><Relationship Id="rId958" Type="http://schemas.openxmlformats.org/officeDocument/2006/relationships/hyperlink" Target="https://www.dropbox.com/scl/fi/yseo5uwj23nys88zqv42s/41577.pdf?rlkey=u2wu3rf5onbsogptxze8bcwo0&amp;dl=0" TargetMode="External"/><Relationship Id="rId87" Type="http://schemas.openxmlformats.org/officeDocument/2006/relationships/hyperlink" Target="https://www.dropbox.com/scl/fi/oeas0p2lj9e5odftwnudu/41383.pdf?rlkey=fm9u3wx1wu35ki49bsef7f69i&amp;dl=0" TargetMode="External"/><Relationship Id="rId513" Type="http://schemas.openxmlformats.org/officeDocument/2006/relationships/hyperlink" Target="https://www.dropbox.com/scl/fi/rwsvxrdwfjnbacz2u07r8/40144.pdf?rlkey=olkbd9hox9sf3cl68ju54rilz&amp;dl=0" TargetMode="External"/><Relationship Id="rId597" Type="http://schemas.openxmlformats.org/officeDocument/2006/relationships/hyperlink" Target="https://www.dropbox.com/scl/fi/1x0d7ihkx4vohyokpvaql/40290.pdf?rlkey=65bw070t9zewhcv5221srd1po&amp;dl=0" TargetMode="External"/><Relationship Id="rId720" Type="http://schemas.openxmlformats.org/officeDocument/2006/relationships/hyperlink" Target="https://www.dropbox.com/scl/fi/r56emb4dg3wwh1y3rgnwz/40501.pdf?rlkey=2kvqzube9uxagagmczxjs4khp&amp;dl=0" TargetMode="External"/><Relationship Id="rId818" Type="http://schemas.openxmlformats.org/officeDocument/2006/relationships/hyperlink" Target="https://www.dropbox.com/scl/fi/vjc5kg0e42owzz950mz7h/40832.pdf?rlkey=iqyvxc32649gg6hv7qccf6dtp&amp;dl=0" TargetMode="External"/><Relationship Id="rId152" Type="http://schemas.openxmlformats.org/officeDocument/2006/relationships/hyperlink" Target="https://www.dropbox.com/scl/fi/o8fj4l11vpq52j3j9uftr/41158.pdf?rlkey=a85va6qh20f1yejf0tqqxlrcg&amp;dl=0" TargetMode="External"/><Relationship Id="rId457" Type="http://schemas.openxmlformats.org/officeDocument/2006/relationships/hyperlink" Target="https://www.dropbox.com/scl/fi/od6d5nhaiyfusgklty5uf/40022.pdf?rlkey=gq4p2pa4id1oensrqyw3mjoas&amp;dl=0" TargetMode="External"/><Relationship Id="rId1003" Type="http://schemas.openxmlformats.org/officeDocument/2006/relationships/hyperlink" Target="https://www.dropbox.com/scl/fi/zcb80a65ck5ujogph9r3m/41695.pdf?rlkey=sfpivgkslsgyh44acq4weq707&amp;dl=0" TargetMode="External"/><Relationship Id="rId664" Type="http://schemas.openxmlformats.org/officeDocument/2006/relationships/hyperlink" Target="https://www.dropbox.com/scl/fi/98mc9vhameh4nvheihuus/40402.pdf?rlkey=a417hdrc3fpwnw2pzc4ncswcf&amp;dl=0" TargetMode="External"/><Relationship Id="rId871" Type="http://schemas.openxmlformats.org/officeDocument/2006/relationships/hyperlink" Target="https://www.dropbox.com/scl/fi/9ou8qsy6a0zp1smq2ylbv/41418.pdf?rlkey=04py4gwoar8vtc40c7prhn693&amp;dl=0" TargetMode="External"/><Relationship Id="rId969" Type="http://schemas.openxmlformats.org/officeDocument/2006/relationships/hyperlink" Target="https://www.dropbox.com/scl/fi/a8oarec7iwed2v4xp05zx/41596.pdf?rlkey=0mxvmkmgb0gvexx19hw7n8byp&amp;dl=0" TargetMode="External"/><Relationship Id="rId14" Type="http://schemas.openxmlformats.org/officeDocument/2006/relationships/hyperlink" Target="https://www.dropbox.com/scl/fi/86dznqw5wwo2q4qwy36sj/41276.pdf?rlkey=0x4gwijuepdrj81d3wud2h9l5&amp;dl=0" TargetMode="External"/><Relationship Id="rId317" Type="http://schemas.openxmlformats.org/officeDocument/2006/relationships/hyperlink" Target="https://www.dropbox.com/scl/fi/947abb0scmqyz5826nx7n/39676.pdf?rlkey=dglizp9tr1o9uubcmni6br4lm&amp;dl=0" TargetMode="External"/><Relationship Id="rId524" Type="http://schemas.openxmlformats.org/officeDocument/2006/relationships/hyperlink" Target="https://www.dropbox.com/scl/fi/1dbd60mkasm8ur1rgqrjy/40174.pdf?rlkey=7qh5jpf9fjy5429u7ctde8qxc&amp;dl=0" TargetMode="External"/><Relationship Id="rId731" Type="http://schemas.openxmlformats.org/officeDocument/2006/relationships/hyperlink" Target="https://www.dropbox.com/scl/fi/bjpb8dguc3ksirorrqrb6/40512.pdf?rlkey=rb5k1dkpki5gn2k2m15owdm2h&amp;dl=0" TargetMode="External"/><Relationship Id="rId98" Type="http://schemas.openxmlformats.org/officeDocument/2006/relationships/hyperlink" Target="https://www.dropbox.com/scl/fi/maiobs16u1ex5nsfu2fvw/40491.pdf?rlkey=sf5t83u8apk5iti19ucdpl7l6&amp;dl=0" TargetMode="External"/><Relationship Id="rId163" Type="http://schemas.openxmlformats.org/officeDocument/2006/relationships/hyperlink" Target="https://www.dropbox.com/scl/fi/4e6pnkg0f9xlxt9mgqqor/41196.pdf?rlkey=prswt5033n215jxyn6fbti5ub&amp;dl=0" TargetMode="External"/><Relationship Id="rId370" Type="http://schemas.openxmlformats.org/officeDocument/2006/relationships/hyperlink" Target="https://www.dropbox.com/scl/fi/g1zjx97703eecxmqidokl/39808.pdf?rlkey=vbrst8cosz5ixq0c0sze928h1&amp;dl=0" TargetMode="External"/><Relationship Id="rId829" Type="http://schemas.openxmlformats.org/officeDocument/2006/relationships/hyperlink" Target="https://www.dropbox.com/scl/fi/yjexq8lzjsiheo7z9ijng/40871.pdf?rlkey=3vaka0svv98uj7pahofhvob5d&amp;dl=0" TargetMode="External"/><Relationship Id="rId230" Type="http://schemas.openxmlformats.org/officeDocument/2006/relationships/hyperlink" Target="https://www.dropbox.com/scl/fi/4lpbaebyslp8toy7lw6vh/39441.pdf?rlkey=8xb5nfgrtr9gvn19mx4rm5kqt&amp;dl=0" TargetMode="External"/><Relationship Id="rId468" Type="http://schemas.openxmlformats.org/officeDocument/2006/relationships/hyperlink" Target="https://www.dropbox.com/scl/fi/a52m0o5mvoj1wqb4q7er7/40043.pdf?rlkey=rkyqndl1m6gx9xa0wmz727cbc&amp;dl=0" TargetMode="External"/><Relationship Id="rId675" Type="http://schemas.openxmlformats.org/officeDocument/2006/relationships/hyperlink" Target="https://www.dropbox.com/scl/fi/3xp906fvfx2kh7w2ndl02/40425.pdf?rlkey=w0rlvb7wmvprce3c2gz48y4rf&amp;dl=0" TargetMode="External"/><Relationship Id="rId882" Type="http://schemas.openxmlformats.org/officeDocument/2006/relationships/hyperlink" Target="https://www.dropbox.com/scl/fi/gowrgl51m8avpxkq2d61e/41433.pdf?rlkey=kzumb39fx3t7modpv7ywptdnu&amp;dl=0" TargetMode="External"/><Relationship Id="rId25" Type="http://schemas.openxmlformats.org/officeDocument/2006/relationships/hyperlink" Target="https://www.dropbox.com/scl/fi/m2t7yi7rtsdloriocdugm/40979.pdf?rlkey=dy1gj6403u1087q361v5sa6db&amp;dl=0" TargetMode="External"/><Relationship Id="rId328" Type="http://schemas.openxmlformats.org/officeDocument/2006/relationships/hyperlink" Target="https://www.dropbox.com/scl/fi/7mtu13exeiudas5hcb17p/39723.pdf?rlkey=4crl1nihrafznw868hjfcaezy&amp;dl=0" TargetMode="External"/><Relationship Id="rId535" Type="http://schemas.openxmlformats.org/officeDocument/2006/relationships/hyperlink" Target="https://www.dropbox.com/scl/fi/prvxcz5ny21c2an9g0d68/40187.pdf?rlkey=kbtxxfx1juncy5y00tpjzr38f&amp;dl=0" TargetMode="External"/><Relationship Id="rId742" Type="http://schemas.openxmlformats.org/officeDocument/2006/relationships/hyperlink" Target="https://www.dropbox.com/scl/fi/1rolqhworwxuacvep56eb/40525.pdf?rlkey=6tm31k73sj84t51fiu1wcyiq8&amp;dl=0" TargetMode="External"/><Relationship Id="rId174" Type="http://schemas.openxmlformats.org/officeDocument/2006/relationships/hyperlink" Target="https://www.dropbox.com/scl/fi/ktwaxutlg5ur2oz6208hu/41244.pdf?rlkey=3t6ux9icodtoasxxf68z6zl6f&amp;dl=0" TargetMode="External"/><Relationship Id="rId381" Type="http://schemas.openxmlformats.org/officeDocument/2006/relationships/hyperlink" Target="https://www.dropbox.com/scl/fi/7xokfjswgzpmsu2956vh9/39849.pdf?rlkey=mkcrjue0tjunv9nahbsh6onrd&amp;dl=0" TargetMode="External"/><Relationship Id="rId602" Type="http://schemas.openxmlformats.org/officeDocument/2006/relationships/hyperlink" Target="https://www.dropbox.com/scl/fi/1rz8b0y4il8wg7g3n6px5/40296.pdf?rlkey=t7sk17jn1ts0fd88z838u9xbd&amp;dl=0" TargetMode="External"/><Relationship Id="rId241" Type="http://schemas.openxmlformats.org/officeDocument/2006/relationships/hyperlink" Target="https://www.dropbox.com/scl/fi/kksiza7g7srq86nv8hu63/39470.pdf?rlkey=d50m8neb2vxwg0fn4v2g0h33w&amp;dl=0" TargetMode="External"/><Relationship Id="rId479" Type="http://schemas.openxmlformats.org/officeDocument/2006/relationships/hyperlink" Target="https://www.dropbox.com/scl/fi/ndjtjc4dwg9ayg6gfy65f/40058.pdf?rlkey=xyq1hdu4vkw8jtb15q9euw7o6&amp;dl=0" TargetMode="External"/><Relationship Id="rId686" Type="http://schemas.openxmlformats.org/officeDocument/2006/relationships/hyperlink" Target="https://www.dropbox.com/scl/fi/e7gryz45puwyovsf0pl3h/40442.pdf?rlkey=qmmnpvteszor7wq023fj7n8pq&amp;dl=0" TargetMode="External"/><Relationship Id="rId893" Type="http://schemas.openxmlformats.org/officeDocument/2006/relationships/hyperlink" Target="https://www.dropbox.com/scl/fi/jrrtpihmr6xbsxgp4pgsw/41456.pdf?rlkey=jw3q1dglir3q8ew8047tzlwyx&amp;dl=0" TargetMode="External"/><Relationship Id="rId907" Type="http://schemas.openxmlformats.org/officeDocument/2006/relationships/hyperlink" Target="https://www.dropbox.com/scl/fi/x3eo3z9m6hkuejdnmphu5/41473.pdf?rlkey=im0ssj43cmiinaz7zlfol36ls&amp;dl=0" TargetMode="External"/><Relationship Id="rId36" Type="http://schemas.openxmlformats.org/officeDocument/2006/relationships/hyperlink" Target="https://www.dropbox.com/scl/fi/obt11u9rzkrh9m7reb3ia/41071.pdf?rlkey=z0brx5qcjuvi9l0kul3ej1mnb&amp;dl=0" TargetMode="External"/><Relationship Id="rId339" Type="http://schemas.openxmlformats.org/officeDocument/2006/relationships/hyperlink" Target="https://www.dropbox.com/scl/fi/uiv2jgk9f6e39ol9q656a/39739.pdf?rlkey=whzvx7gf0tnyw191aovtge07w&amp;dl=0" TargetMode="External"/><Relationship Id="rId546" Type="http://schemas.openxmlformats.org/officeDocument/2006/relationships/hyperlink" Target="https://www.dropbox.com/scl/fi/aa4fvzejhxvlm33z7yu57/40204.pdf?rlkey=tt3g1barhcv9qa394qwia9xij&amp;dl=0" TargetMode="External"/><Relationship Id="rId753" Type="http://schemas.openxmlformats.org/officeDocument/2006/relationships/hyperlink" Target="https://www.dropbox.com/scl/fi/2ulqr420jv9ujarw3xvd7/40546.pdf?rlkey=bpje71q0knzk7liz7946g6nrk&amp;dl=0" TargetMode="External"/><Relationship Id="rId101" Type="http://schemas.openxmlformats.org/officeDocument/2006/relationships/hyperlink" Target="https://www.dropbox.com/scl/fi/jhurjnqfhkyo6huehj1c9/40912.pdf?rlkey=bonzyhxdoqtihzrtww9pgqgtp&amp;dl=0" TargetMode="External"/><Relationship Id="rId185" Type="http://schemas.openxmlformats.org/officeDocument/2006/relationships/hyperlink" Target="https://www.dropbox.com/scl/fi/e4y77f1z9gtofv4ixjavx/41319.pdf?rlkey=4nk1h7mqad7up8bx6qtoh4os8&amp;dl=0" TargetMode="External"/><Relationship Id="rId406" Type="http://schemas.openxmlformats.org/officeDocument/2006/relationships/hyperlink" Target="https://www.dropbox.com/scl/fi/tffeiurvz04p661awg4ut/39897.pdf?rlkey=up3ufoaghftjl159k4f4ugodu&amp;dl=0" TargetMode="External"/><Relationship Id="rId960" Type="http://schemas.openxmlformats.org/officeDocument/2006/relationships/hyperlink" Target="https://www.dropbox.com/scl/fi/80mtefe7fsu96pnjjqu5b/41580.pdf?rlkey=dahhjih4pprgdx70titwpwufb&amp;dl=0" TargetMode="External"/><Relationship Id="rId392" Type="http://schemas.openxmlformats.org/officeDocument/2006/relationships/hyperlink" Target="https://www.dropbox.com/scl/fi/1naju8x8lp3fk3pt8x812/39863.pdf?rlkey=15twryzjwgfr46ydyjm1n2nj8&amp;dl=0" TargetMode="External"/><Relationship Id="rId613" Type="http://schemas.openxmlformats.org/officeDocument/2006/relationships/hyperlink" Target="https://www.dropbox.com/scl/fi/ijh1w61etenvb0hoepnm0/40313.pdf?rlkey=x3aj39k99u93nhr7r4batvixu&amp;dl=0" TargetMode="External"/><Relationship Id="rId697" Type="http://schemas.openxmlformats.org/officeDocument/2006/relationships/hyperlink" Target="https://www.dropbox.com/scl/fi/2ghd5rc0cl3ac6pno8cxr/40459.pdf?rlkey=t0hhdfcaukjve9mrv8b312zyr&amp;dl=0" TargetMode="External"/><Relationship Id="rId820" Type="http://schemas.openxmlformats.org/officeDocument/2006/relationships/hyperlink" Target="https://www.dropbox.com/scl/fi/zhrto49yi71ejz50bl5g0/40834.pdf?rlkey=3bgv9prkdp6yujyty9g61ugfh&amp;dl=0" TargetMode="External"/><Relationship Id="rId918" Type="http://schemas.openxmlformats.org/officeDocument/2006/relationships/hyperlink" Target="https://www.dropbox.com/scl/fi/d5n3gr3l2kz1n4fk2j4u7/41487.pdf?rlkey=07vbd40afmg3yz6w5huspsr7r&amp;dl=0" TargetMode="External"/><Relationship Id="rId252" Type="http://schemas.openxmlformats.org/officeDocument/2006/relationships/hyperlink" Target="https://www.dropbox.com/scl/fi/fh8dqavbdgwg7h1hnmibr/39509.pdf?rlkey=dqpcuqb73xmdynzustidmn0ly&amp;dl=0" TargetMode="External"/><Relationship Id="rId47" Type="http://schemas.openxmlformats.org/officeDocument/2006/relationships/hyperlink" Target="https://www.dropbox.com/scl/fi/awqopjn75rm981hw9jvn2/41108.pdf?rlkey=yi8u8jg96qkl4c9a597aitca6&amp;dl=0" TargetMode="External"/><Relationship Id="rId112" Type="http://schemas.openxmlformats.org/officeDocument/2006/relationships/hyperlink" Target="https://www.dropbox.com/scl/fi/bj1min3n3wruv1rcar8lm/40996.pdf?rlkey=6ibk7x6lb152six7wamcl16fj&amp;dl=0" TargetMode="External"/><Relationship Id="rId557" Type="http://schemas.openxmlformats.org/officeDocument/2006/relationships/hyperlink" Target="https://www.dropbox.com/scl/fi/1r4urk4mk0zpuxf9rqkdi/40217.pdf?rlkey=5n8nawtjjsk837x5qfvxmkpza&amp;dl=0" TargetMode="External"/><Relationship Id="rId764" Type="http://schemas.openxmlformats.org/officeDocument/2006/relationships/hyperlink" Target="https://www.dropbox.com/scl/fi/651t03j7fepe1qsyfp9gj/40707.pdf?rlkey=67wnjt30m5miloruh4k0enzau&amp;dl=0" TargetMode="External"/><Relationship Id="rId971" Type="http://schemas.openxmlformats.org/officeDocument/2006/relationships/hyperlink" Target="https://www.dropbox.com/scl/fi/6zxlafwqjjg2o50t2mb4h/41621.pdf?rlkey=t8mc0s657xiv5i90tve7nhjwp&amp;dl=0" TargetMode="External"/><Relationship Id="rId196" Type="http://schemas.openxmlformats.org/officeDocument/2006/relationships/hyperlink" Target="https://www.dropbox.com/scl/fi/ic3tswcb9jsq8e3syw1ih/41355.pdf?rlkey=61vsksgxosnerovqv478n28zt&amp;dl=0" TargetMode="External"/><Relationship Id="rId417" Type="http://schemas.openxmlformats.org/officeDocument/2006/relationships/hyperlink" Target="https://www.dropbox.com/scl/fi/g7fceer4x40gilf4pyipl/39928.pdf?rlkey=fdpdk4xotrbmlm5a3y4wuo166&amp;dl=0" TargetMode="External"/><Relationship Id="rId624" Type="http://schemas.openxmlformats.org/officeDocument/2006/relationships/hyperlink" Target="https://www.dropbox.com/scl/fi/b5pblw700wkl08xgtqn2x/40325.pdf?rlkey=a5cdqgwc3d0d6kba9wrjva8p1&amp;dl=0" TargetMode="External"/><Relationship Id="rId831" Type="http://schemas.openxmlformats.org/officeDocument/2006/relationships/hyperlink" Target="https://www.dropbox.com/scl/fi/adr9al3medp158g76ikt8/40873.pdf?rlkey=5sxdl6g656wp1v5wanownoffa&amp;dl=0" TargetMode="External"/><Relationship Id="rId263" Type="http://schemas.openxmlformats.org/officeDocument/2006/relationships/hyperlink" Target="https://www.dropbox.com/scl/fi/0o9agcprejo5trtoe3ns6/39532.pdf?rlkey=zhxkdixo9fw8yx1eh15s0s8ph&amp;dl=0" TargetMode="External"/><Relationship Id="rId470" Type="http://schemas.openxmlformats.org/officeDocument/2006/relationships/hyperlink" Target="https://www.dropbox.com/scl/fi/npx3t4qvsj76g0jg80znc/40047.pdf?rlkey=u50cylvxu48b22mhrzr7g2453&amp;dl=0" TargetMode="External"/><Relationship Id="rId929" Type="http://schemas.openxmlformats.org/officeDocument/2006/relationships/hyperlink" Target="https://www.dropbox.com/scl/fi/b8qd445jw0fmm0y5g4kos/41505.pdf?rlkey=yk2sn0yziue6qijyihy5jv5a6&amp;dl=0" TargetMode="External"/><Relationship Id="rId58" Type="http://schemas.openxmlformats.org/officeDocument/2006/relationships/hyperlink" Target="https://www.dropbox.com/scl/fi/dqrnk1jxeokvnbp0p204k/41115.pdf?rlkey=alviuv5lf4mpq1n4fazbpugfq&amp;dl=0" TargetMode="External"/><Relationship Id="rId123" Type="http://schemas.openxmlformats.org/officeDocument/2006/relationships/hyperlink" Target="https://www.dropbox.com/scl/fi/fjd2ena6sw2g99c3n8vqp/41040.pdf?rlkey=yk0f9fm3l2nkzdh8zuwisitdf&amp;dl=0" TargetMode="External"/><Relationship Id="rId330" Type="http://schemas.openxmlformats.org/officeDocument/2006/relationships/hyperlink" Target="https://www.dropbox.com/scl/fi/8ma10tsmgm8n0os0lxte8/39728.pdf?rlkey=igdhy4n2bnybywrcnhf7spo6m&amp;dl=0" TargetMode="External"/><Relationship Id="rId568" Type="http://schemas.openxmlformats.org/officeDocument/2006/relationships/hyperlink" Target="https://www.dropbox.com/scl/fi/kuux635mn85hs6iniopno/40229.pdf?rlkey=0gr2ooeex1557uccp3mz7s4rv&amp;dl=0" TargetMode="External"/><Relationship Id="rId775" Type="http://schemas.openxmlformats.org/officeDocument/2006/relationships/hyperlink" Target="https://www.dropbox.com/scl/fi/f0scyz82p2b0igmrtqr5x/40723.pdf?rlkey=gx2e96bmx8rhvkkqo950kvl34&amp;dl=0" TargetMode="External"/><Relationship Id="rId982" Type="http://schemas.openxmlformats.org/officeDocument/2006/relationships/hyperlink" Target="https://www.dropbox.com/scl/fi/w50t5fpd17eelzlaubuhf/41646.pdf?rlkey=i9c6zrtg3k6zidxulh3236cyq&amp;dl=0" TargetMode="External"/><Relationship Id="rId428" Type="http://schemas.openxmlformats.org/officeDocument/2006/relationships/hyperlink" Target="https://www.dropbox.com/scl/fi/004tknsgjzua06fmppvk7/39955.pdf?rlkey=lm5negjqk4n99cwtuexu4407z&amp;dl=0" TargetMode="External"/><Relationship Id="rId635" Type="http://schemas.openxmlformats.org/officeDocument/2006/relationships/hyperlink" Target="https://www.dropbox.com/scl/fi/yfzwywxy56sugty42qwih/40345.pdf?rlkey=8wpterfs303kyfc82qittc81t&amp;dl=0" TargetMode="External"/><Relationship Id="rId842" Type="http://schemas.openxmlformats.org/officeDocument/2006/relationships/hyperlink" Target="https://www.dropbox.com/scl/fi/70r12n1imlg5o5js3grs2/40933.pdf?rlkey=bxsqptwh127bx0vo4gfirdupm&amp;dl=0" TargetMode="External"/><Relationship Id="rId274" Type="http://schemas.openxmlformats.org/officeDocument/2006/relationships/hyperlink" Target="https://www.dropbox.com/scl/fi/r8o5yk3g5q2wf6spki4f7/39584.pdf?rlkey=0igjb1opl1cgxd4zbbsqo855n&amp;dl=0" TargetMode="External"/><Relationship Id="rId481" Type="http://schemas.openxmlformats.org/officeDocument/2006/relationships/hyperlink" Target="https://www.dropbox.com/scl/fi/o04c7srsuw2w4dbilut0n/40060.pdf?rlkey=tpnrznn07swr585gu85tlc504&amp;dl=0" TargetMode="External"/><Relationship Id="rId702" Type="http://schemas.openxmlformats.org/officeDocument/2006/relationships/hyperlink" Target="https://www.dropbox.com/scl/fi/wcqjpvwvy75hfmhe4nlof/40470.pdf?rlkey=qmru3qlzrxipnfv00i22elfcb&amp;dl=0" TargetMode="External"/><Relationship Id="rId69" Type="http://schemas.openxmlformats.org/officeDocument/2006/relationships/hyperlink" Target="https://www.dropbox.com/scl/fi/hzs0tj5fk2y8ij9mudw3e/41253.pdf?rlkey=6me2v5mvgv6ys1jajkvf0erzs&amp;dl=0" TargetMode="External"/><Relationship Id="rId134" Type="http://schemas.openxmlformats.org/officeDocument/2006/relationships/hyperlink" Target="https://www.dropbox.com/scl/fi/ex11dxgtqn7vqukj5tahx/41094.pdf?rlkey=oyswse9d81qymssp691r89fsk&amp;dl=0" TargetMode="External"/><Relationship Id="rId579" Type="http://schemas.openxmlformats.org/officeDocument/2006/relationships/hyperlink" Target="https://www.dropbox.com/scl/fi/soq5n307t57byrhhwchj6/40242.pdf?rlkey=gn83c38sijv88j11dshzmdqj2&amp;dl=0" TargetMode="External"/><Relationship Id="rId786" Type="http://schemas.openxmlformats.org/officeDocument/2006/relationships/hyperlink" Target="https://www.dropbox.com/scl/fi/6tfip7jkoj5ujl8ucazgn/40740.pdf?rlkey=l5lig3aols80dq08mb8uf8dmd&amp;dl=0" TargetMode="External"/><Relationship Id="rId993" Type="http://schemas.openxmlformats.org/officeDocument/2006/relationships/hyperlink" Target="https://www.dropbox.com/scl/fi/k06needmhnvgdp18uwgxu/41664.pdf?rlkey=i913uha5lz44hba3rxjr2g9i8&amp;dl=0" TargetMode="External"/><Relationship Id="rId341" Type="http://schemas.openxmlformats.org/officeDocument/2006/relationships/hyperlink" Target="https://www.dropbox.com/scl/fi/w8pefnayiwnd492bzct6f/39741.pdf?rlkey=wv4xqwnnbsbp62f7hddan6zm6&amp;dl=0" TargetMode="External"/><Relationship Id="rId439" Type="http://schemas.openxmlformats.org/officeDocument/2006/relationships/hyperlink" Target="https://www.dropbox.com/scl/fi/5cm2d1kx0jpucv4fy63bq/39985.pdf?rlkey=hs1ejt7822y0z44jlnb2bvc25&amp;dl=0" TargetMode="External"/><Relationship Id="rId646" Type="http://schemas.openxmlformats.org/officeDocument/2006/relationships/hyperlink" Target="https://www.dropbox.com/scl/fi/ky135wygrdn5e95708nnq/40369.pdf?rlkey=jwmh0ovrdilcgzumot7z0jtcn&amp;dl=0" TargetMode="External"/><Relationship Id="rId201" Type="http://schemas.openxmlformats.org/officeDocument/2006/relationships/hyperlink" Target="https://www.dropbox.com/scl/fi/xf7oeor7yhrrdcc8iduo3/41360.pdf?rlkey=axliaq211bjbxbekgxewtxecr&amp;dl=0" TargetMode="External"/><Relationship Id="rId285" Type="http://schemas.openxmlformats.org/officeDocument/2006/relationships/hyperlink" Target="https://www.dropbox.com/scl/fi/a8jhjijjd0sfk74ow4acb/39610.pdf?rlkey=f3yuenvtf8rn75fg02wyj747i&amp;dl=0" TargetMode="External"/><Relationship Id="rId506" Type="http://schemas.openxmlformats.org/officeDocument/2006/relationships/hyperlink" Target="https://www.dropbox.com/scl/fi/5bp1rnuvpkh44s0qtztx0/40126.pdf?rlkey=okfslab0vqdd5a2qsvkp1y0zf&amp;dl=0" TargetMode="External"/><Relationship Id="rId853" Type="http://schemas.openxmlformats.org/officeDocument/2006/relationships/hyperlink" Target="https://www.dropbox.com/scl/fi/gypn0wznkctm4jnwo87i4/41392.pdf?rlkey=v44lrcyy0dw8j2ikd1f3co5fn&amp;dl=0" TargetMode="External"/><Relationship Id="rId492" Type="http://schemas.openxmlformats.org/officeDocument/2006/relationships/hyperlink" Target="https://www.dropbox.com/scl/fi/qosdijg1ewqz57ipeq7t4/40082.pdf?rlkey=8l7pj7q6ch8taruoil6xhd0ju&amp;dl=0" TargetMode="External"/><Relationship Id="rId713" Type="http://schemas.openxmlformats.org/officeDocument/2006/relationships/hyperlink" Target="https://www.dropbox.com/scl/fi/ner8ljisdqknkvirr8c73/40485.pdf?rlkey=ivw1mh38q4089r4lq9792luns&amp;dl=0" TargetMode="External"/><Relationship Id="rId797" Type="http://schemas.openxmlformats.org/officeDocument/2006/relationships/hyperlink" Target="https://www.dropbox.com/scl/fi/03iayr9p7eiyjre9u3w5o/40753.pdf?rlkey=z08b58gc74refzmf63qw7zqt4&amp;dl=0" TargetMode="External"/><Relationship Id="rId920" Type="http://schemas.openxmlformats.org/officeDocument/2006/relationships/hyperlink" Target="https://www.dropbox.com/scl/fi/mwevuuu4aclu7byihdt08/41489.pdf?rlkey=0ro4x81r2kr1qcm1kaywauhfe&amp;dl=0" TargetMode="External"/><Relationship Id="rId145" Type="http://schemas.openxmlformats.org/officeDocument/2006/relationships/hyperlink" Target="https://www.dropbox.com/scl/fi/1ygucf4fo04td7z93n8in/41133.pdf?rlkey=tho161k1ez46ml0foequ37abq&amp;dl=0" TargetMode="External"/><Relationship Id="rId352" Type="http://schemas.openxmlformats.org/officeDocument/2006/relationships/hyperlink" Target="https://www.dropbox.com/scl/fi/49s0x51twv4e25867c50i/39766.pdf?rlkey=y2wv1hsqygxgm9qiitfqc433z&amp;dl=0" TargetMode="External"/><Relationship Id="rId212" Type="http://schemas.openxmlformats.org/officeDocument/2006/relationships/hyperlink" Target="https://www.dropbox.com/scl/fi/rsjonjfim2was3879ww18/41378.pdf?rlkey=axjpzwye8etvcik8hju708fnz&amp;dl=0" TargetMode="External"/><Relationship Id="rId657" Type="http://schemas.openxmlformats.org/officeDocument/2006/relationships/hyperlink" Target="https://www.dropbox.com/scl/fi/p067af8ly1eguqep2oyio/40388.pdf?rlkey=us08oi3n696jui24y8uybn38o&amp;dl=0" TargetMode="External"/><Relationship Id="rId864" Type="http://schemas.openxmlformats.org/officeDocument/2006/relationships/hyperlink" Target="https://www.dropbox.com/scl/fi/i3fsp47f4sb5hxrlddn2o/41405.pdf?rlkey=hsvbb6wv0v4zqozj4sqx2cm07&amp;dl=0" TargetMode="External"/><Relationship Id="rId296" Type="http://schemas.openxmlformats.org/officeDocument/2006/relationships/hyperlink" Target="https://www.dropbox.com/scl/fi/4dl65i5s8a4b1lleu0y0a/39625.pdf?rlkey=0rac63j0iuhvhwv98jrs93e4k&amp;dl=0" TargetMode="External"/><Relationship Id="rId517" Type="http://schemas.openxmlformats.org/officeDocument/2006/relationships/hyperlink" Target="https://www.dropbox.com/scl/fi/grp7dc9jkw5ap1jpr4cyd/40156.pdf?rlkey=zrl1yzo6jec1x1q96fbdaioje&amp;dl=0" TargetMode="External"/><Relationship Id="rId724" Type="http://schemas.openxmlformats.org/officeDocument/2006/relationships/hyperlink" Target="https://www.dropbox.com/scl/fi/51urgzcpfflkiu8ht8t3x/40505.pdf?rlkey=zftqtfxqzhxwadipa863m808m&amp;dl=0" TargetMode="External"/><Relationship Id="rId931" Type="http://schemas.openxmlformats.org/officeDocument/2006/relationships/hyperlink" Target="https://www.dropbox.com/scl/fi/bklqkbycqga4ytkjf1yj3/41508.pdf?rlkey=674tv1vva9t1ton3e6ujub8pf&amp;dl=0" TargetMode="External"/><Relationship Id="rId60" Type="http://schemas.openxmlformats.org/officeDocument/2006/relationships/hyperlink" Target="https://www.dropbox.com/scl/fi/75cas3r6ysbx8zozfd95d/41148.pdf?rlkey=0e7ihifdxp97yioa10j97i3m4&amp;dl=0" TargetMode="External"/><Relationship Id="rId156" Type="http://schemas.openxmlformats.org/officeDocument/2006/relationships/hyperlink" Target="https://www.dropbox.com/scl/fi/49jikmls7qflns2iqqojy/41169.pdf?rlkey=903puadskvpbpolseoztmgwue&amp;dl=0" TargetMode="External"/><Relationship Id="rId363" Type="http://schemas.openxmlformats.org/officeDocument/2006/relationships/hyperlink" Target="https://www.dropbox.com/scl/fi/nejeenul3gnwkjz5dgxrk/39801.pdf?rlkey=snauzpnaked5uj8n87lrs4rp3&amp;dl=0" TargetMode="External"/><Relationship Id="rId570" Type="http://schemas.openxmlformats.org/officeDocument/2006/relationships/hyperlink" Target="https://www.dropbox.com/scl/fi/63xjctpqg28uqb4tmd8t1/40231.pdf?rlkey=d8g15nok1cbswzbgtrbkeur4c&amp;dl=0" TargetMode="External"/><Relationship Id="rId1007" Type="http://schemas.openxmlformats.org/officeDocument/2006/relationships/hyperlink" Target="https://www.dropbox.com/scl/fi/f6xkzks0k7qo7ym3oyouv/41707.pdf?rlkey=0ps9j850724urk1fm03t37oui&amp;dl=0" TargetMode="External"/><Relationship Id="rId223" Type="http://schemas.openxmlformats.org/officeDocument/2006/relationships/hyperlink" Target="https://www.dropbox.com/scl/fi/vvrchmrzz3zkfx28odzs7/39423.pdf?rlkey=x39hsb4pnht6ab0h8mssg7p5o&amp;dl=0" TargetMode="External"/><Relationship Id="rId430" Type="http://schemas.openxmlformats.org/officeDocument/2006/relationships/hyperlink" Target="https://www.dropbox.com/scl/fi/wj0wqouk5j74kdhryx5sg/39957.pdf?rlkey=6i9n6kyodjpw0lm5wubyq3ei4&amp;dl=0" TargetMode="External"/><Relationship Id="rId668" Type="http://schemas.openxmlformats.org/officeDocument/2006/relationships/hyperlink" Target="https://www.dropbox.com/scl/fi/q3syqxal558rx8l4le8ev/40418.pdf?rlkey=75vefw5ezkmh9dx2hz1fnynih&amp;dl=0" TargetMode="External"/><Relationship Id="rId875" Type="http://schemas.openxmlformats.org/officeDocument/2006/relationships/hyperlink" Target="https://www.dropbox.com/scl/fi/j32l0to55os55aaj4bb6p/41422.pdf?rlkey=nieuchaj12j7i1kimcwcbce7k&amp;dl=0" TargetMode="External"/><Relationship Id="rId18" Type="http://schemas.openxmlformats.org/officeDocument/2006/relationships/hyperlink" Target="https://www.dropbox.com/scl/fi/7dxc58115v8jcv11jklij/41212.pdf?rlkey=vu4uuihtthi0rjjc542souk64&amp;dl=0" TargetMode="External"/><Relationship Id="rId528" Type="http://schemas.openxmlformats.org/officeDocument/2006/relationships/hyperlink" Target="https://www.dropbox.com/scl/fi/a79el32rsvvwsb83cne12/40179.pdf?rlkey=5volqrudd8r91vwg6og9vsn5g&amp;dl=0" TargetMode="External"/><Relationship Id="rId735" Type="http://schemas.openxmlformats.org/officeDocument/2006/relationships/hyperlink" Target="https://www.dropbox.com/scl/fi/cqu6h2eef3rubb7ybp8op/40516.pdf?rlkey=uqtmvdgr94deunjeg9bi36dii&amp;dl=0" TargetMode="External"/><Relationship Id="rId942" Type="http://schemas.openxmlformats.org/officeDocument/2006/relationships/hyperlink" Target="https://www.dropbox.com/scl/fi/4nga8cwccypixgm4408s7/41529.pdf?rlkey=hvvintobt6n2e86hjdsx89nwn&amp;dl=0" TargetMode="External"/><Relationship Id="rId167" Type="http://schemas.openxmlformats.org/officeDocument/2006/relationships/hyperlink" Target="https://www.dropbox.com/scl/fi/bx9n9u2tn2yjwnmosjwj5/41203.pdf?rlkey=mkwgf1dkmniojg3s4z6f3syah&amp;dl=0" TargetMode="External"/><Relationship Id="rId374" Type="http://schemas.openxmlformats.org/officeDocument/2006/relationships/hyperlink" Target="https://www.dropbox.com/scl/fi/eraiob1wp2esf9vja3xjl/39815.pdf?rlkey=a6ufbh1dodre615p84yrh5nfa&amp;dl=0" TargetMode="External"/><Relationship Id="rId581" Type="http://schemas.openxmlformats.org/officeDocument/2006/relationships/hyperlink" Target="https://www.dropbox.com/scl/fi/g40iozc4kbisml1cnk0oa/40264.pdf?rlkey=53tjl1q9o5xh5d1phwyxm8fay&amp;dl=0" TargetMode="External"/><Relationship Id="rId71" Type="http://schemas.openxmlformats.org/officeDocument/2006/relationships/hyperlink" Target="https://www.dropbox.com/scl/fi/cjkwspmu13is6v831mycv/41252.pdf?rlkey=2v7zumxw00c8fmagma1m20evz&amp;dl=0" TargetMode="External"/><Relationship Id="rId234" Type="http://schemas.openxmlformats.org/officeDocument/2006/relationships/hyperlink" Target="https://www.dropbox.com/scl/fi/2kk71ffs93yx91cs1lzna/39451.pdf?rlkey=mzn8uo9dw0dgtrn5uyk2ibk0r&amp;dl=0" TargetMode="External"/><Relationship Id="rId679" Type="http://schemas.openxmlformats.org/officeDocument/2006/relationships/hyperlink" Target="https://www.dropbox.com/scl/fi/dz63j5o0l1d2p7i54mzv1/40435.pdf?rlkey=fjbzad4yux7dsvhybmavvm7tb&amp;dl=0" TargetMode="External"/><Relationship Id="rId802" Type="http://schemas.openxmlformats.org/officeDocument/2006/relationships/hyperlink" Target="https://www.dropbox.com/scl/fi/vdymetlvlv7u60ev06skw/70714.pdf?rlkey=hyfu8tmso48roy7tiznhkuip2&amp;dl=0" TargetMode="External"/><Relationship Id="rId886" Type="http://schemas.openxmlformats.org/officeDocument/2006/relationships/hyperlink" Target="https://www.dropbox.com/scl/fi/69uj1rnsoa1zzozrvz8d9/41442.pdf?rlkey=c23bppepb9snr6314ynzjf4rl&amp;dl=0" TargetMode="External"/><Relationship Id="rId2" Type="http://schemas.openxmlformats.org/officeDocument/2006/relationships/hyperlink" Target="https://www.dropbox.com/scl/fi/wq2dkny513ye8n1eqfctf/41323.pdf?rlkey=z4ess4scu5st7deiy22vfrfe1&amp;dl=0" TargetMode="External"/><Relationship Id="rId29" Type="http://schemas.openxmlformats.org/officeDocument/2006/relationships/hyperlink" Target="https://www.dropbox.com/scl/fi/05qfyhdbl7x4300zgs5lm/40980.pdf?rlkey=kcfc9xzgy07hgrlweof5h9lk4&amp;dl=0" TargetMode="External"/><Relationship Id="rId441" Type="http://schemas.openxmlformats.org/officeDocument/2006/relationships/hyperlink" Target="https://www.dropbox.com/scl/fi/1vxk4ia81o09bafcjf680/39990.pdf?rlkey=m6nb5njpm9hnmrsqgmdaud1le&amp;dl=0" TargetMode="External"/><Relationship Id="rId539" Type="http://schemas.openxmlformats.org/officeDocument/2006/relationships/hyperlink" Target="https://www.dropbox.com/scl/fi/barx351030oj9b0bselt3/40192.pdf?rlkey=yp48p3mfvw59rmbdxb464ddo7&amp;dl=0" TargetMode="External"/><Relationship Id="rId746" Type="http://schemas.openxmlformats.org/officeDocument/2006/relationships/hyperlink" Target="https://www.dropbox.com/scl/fi/ywnilmjw06umejvbruvbz/40539.pdf?rlkey=xjqjy3s5qjydmzpmnfjnfrqyh&amp;dl=0" TargetMode="External"/><Relationship Id="rId178" Type="http://schemas.openxmlformats.org/officeDocument/2006/relationships/hyperlink" Target="https://www.dropbox.com/scl/fi/s976tymb010bntn81obt0/41267.pdf?rlkey=9wiafp2j5khrbm8ewpkst6vjf&amp;dl=0" TargetMode="External"/><Relationship Id="rId301" Type="http://schemas.openxmlformats.org/officeDocument/2006/relationships/hyperlink" Target="https://www.dropbox.com/scl/fi/mzf8ur2iuoigtrqfjrm7h/39633.pdf?rlkey=4o19bod7ek0yu5m4c91rea7qz&amp;dl=0" TargetMode="External"/><Relationship Id="rId953" Type="http://schemas.openxmlformats.org/officeDocument/2006/relationships/hyperlink" Target="https://www.dropbox.com/scl/fi/k7w5embv8d9jq68r5apb2/41564.pdf?rlkey=wigxoovko3qzs295qayki077d&amp;dl=0" TargetMode="External"/><Relationship Id="rId82" Type="http://schemas.openxmlformats.org/officeDocument/2006/relationships/hyperlink" Target="https://www.dropbox.com/scl/fi/47iphha564qvuqrik4jq1/41364.pdf?rlkey=v2u9a7cfj55xlkvpyaky8ivpg&amp;dl=0" TargetMode="External"/><Relationship Id="rId385" Type="http://schemas.openxmlformats.org/officeDocument/2006/relationships/hyperlink" Target="https://www.dropbox.com/scl/fi/cctt1zmfrpwezs1pq8iqv/39853.pdf?rlkey=2tgvjyx4ubnij7bobhb2ls0i0&amp;dl=0" TargetMode="External"/><Relationship Id="rId592" Type="http://schemas.openxmlformats.org/officeDocument/2006/relationships/hyperlink" Target="https://www.dropbox.com/scl/fi/uhiqrly0590ez0w30ftin/40285.pdf?rlkey=jt6tdz55isyv185l4rhvd83kv&amp;dl=0" TargetMode="External"/><Relationship Id="rId606" Type="http://schemas.openxmlformats.org/officeDocument/2006/relationships/hyperlink" Target="https://www.dropbox.com/scl/fi/prgr2ov2ngkqo1c0wl7tw/40303.pdf?rlkey=s0z57jpbwizv3yguju1a4ajgx&amp;dl=0" TargetMode="External"/><Relationship Id="rId813" Type="http://schemas.openxmlformats.org/officeDocument/2006/relationships/hyperlink" Target="https://www.dropbox.com/scl/fi/adcgsbg3d0rqsvdulzn2r/40791.pdf?rlkey=5fsshmczw7vsr3id966rpqxju&amp;dl=0" TargetMode="External"/><Relationship Id="rId245" Type="http://schemas.openxmlformats.org/officeDocument/2006/relationships/hyperlink" Target="https://www.dropbox.com/scl/fi/ouftfgj6jydbplqcckhvy/39479.pdf?rlkey=tw64zutcy7xu20jsqn9nejclf&amp;dl=0" TargetMode="External"/><Relationship Id="rId452" Type="http://schemas.openxmlformats.org/officeDocument/2006/relationships/hyperlink" Target="https://www.dropbox.com/scl/fi/owi8zyhd26h7o3unoxuam/40006.pdf?rlkey=v9edr4f8ce5webr4x2yzawrp7&amp;dl=0" TargetMode="External"/><Relationship Id="rId897" Type="http://schemas.openxmlformats.org/officeDocument/2006/relationships/hyperlink" Target="https://www.dropbox.com/scl/fi/b7x3k7c6hjwrxdn6rtwoo/41460.pdf?rlkey=fr6go7poo73rwkbt576u521c5&amp;dl=0" TargetMode="External"/><Relationship Id="rId105" Type="http://schemas.openxmlformats.org/officeDocument/2006/relationships/hyperlink" Target="https://www.dropbox.com/scl/fi/76lkw3s2rdodlfmy7pfgl/40958.pdf?rlkey=3sngy577xaakdta807cmkh8ts&amp;dl=0" TargetMode="External"/><Relationship Id="rId312" Type="http://schemas.openxmlformats.org/officeDocument/2006/relationships/hyperlink" Target="https://www.dropbox.com/scl/fi/4tygfo1y6ym26e5gatcn6/39668.pdf?rlkey=oyl2p1x16jibeceufc13uy9a9&amp;dl=0" TargetMode="External"/><Relationship Id="rId757" Type="http://schemas.openxmlformats.org/officeDocument/2006/relationships/hyperlink" Target="https://www.dropbox.com/scl/fi/lnw1bwgqfgrpm54nj52t3/40697.pdf?rlkey=pww3wd0vjpm4fmyyuasxm32i1&amp;dl=0" TargetMode="External"/><Relationship Id="rId964" Type="http://schemas.openxmlformats.org/officeDocument/2006/relationships/hyperlink" Target="https://www.dropbox.com/scl/fi/i5cj2lofdt4lw43dt4wgl/41586.pdf?rlkey=ykxttzef6e9jsnou21svks9mx&amp;dl=0" TargetMode="External"/><Relationship Id="rId93" Type="http://schemas.openxmlformats.org/officeDocument/2006/relationships/hyperlink" Target="https://www.dropbox.com/scl/fi/ha7c63chtsp4wjrpbux7z/41325.pdf?rlkey=p92yhxyumnyb14pue77himea9&amp;dl=0" TargetMode="External"/><Relationship Id="rId189" Type="http://schemas.openxmlformats.org/officeDocument/2006/relationships/hyperlink" Target="https://www.dropbox.com/scl/fi/u01caf0bblgqjv6ig9a5m/41344.pdf?rlkey=0vuwpgkp1e598m7zdcabz15c9&amp;dl=0" TargetMode="External"/><Relationship Id="rId396" Type="http://schemas.openxmlformats.org/officeDocument/2006/relationships/hyperlink" Target="https://www.dropbox.com/scl/fi/j0bm3hmcscz37keyy86nx/39876.pdf?rlkey=mjwurh3gticr4x9ojj18qa53k&amp;dl=0" TargetMode="External"/><Relationship Id="rId617" Type="http://schemas.openxmlformats.org/officeDocument/2006/relationships/hyperlink" Target="https://www.dropbox.com/scl/fi/86678cwlpy7ec5xv0vsvj/40318.pdf?rlkey=n9nj549z0gpju7kodxlmqqzmh&amp;dl=0" TargetMode="External"/><Relationship Id="rId824" Type="http://schemas.openxmlformats.org/officeDocument/2006/relationships/hyperlink" Target="https://www.dropbox.com/scl/fi/uwoh0jrx4gg5rrkly1ep8/40861.pdf?rlkey=3e43q9kc5c98a8ujf16dltcmu&amp;dl=0" TargetMode="External"/><Relationship Id="rId256" Type="http://schemas.openxmlformats.org/officeDocument/2006/relationships/hyperlink" Target="https://www.dropbox.com/scl/fi/5msjsi4cgerqd0781aaac/39525.pdf?rlkey=cporkymwg58ufnfeqt3ubhhbs&amp;dl=0" TargetMode="External"/><Relationship Id="rId463" Type="http://schemas.openxmlformats.org/officeDocument/2006/relationships/hyperlink" Target="https://www.dropbox.com/scl/fi/ur56w4x3rws51l1l88o08/40035.pdf?rlkey=v5k17grt5b1o67dy6c28ywiu3&amp;dl=0" TargetMode="External"/><Relationship Id="rId670" Type="http://schemas.openxmlformats.org/officeDocument/2006/relationships/hyperlink" Target="https://www.dropbox.com/scl/fi/n0dnzp9td9xv25e591j2d/40420.pdf?rlkey=n4jlsjfrfic6qg4hufqqlotei&amp;dl=0" TargetMode="External"/><Relationship Id="rId116" Type="http://schemas.openxmlformats.org/officeDocument/2006/relationships/hyperlink" Target="https://www.dropbox.com/scl/fi/ivs097flylwva0bq4skmy/41014.pdf?rlkey=uvfle3vzcpfzs9g6c04shtu2c&amp;dl=0" TargetMode="External"/><Relationship Id="rId323" Type="http://schemas.openxmlformats.org/officeDocument/2006/relationships/hyperlink" Target="https://www.dropbox.com/scl/fi/cun01dg6eevamqlnc9gg2/39719.pdf?rlkey=pma4mslaz5qedtk95ql9t3fs6&amp;dl=0" TargetMode="External"/><Relationship Id="rId530" Type="http://schemas.openxmlformats.org/officeDocument/2006/relationships/hyperlink" Target="https://www.dropbox.com/scl/fi/cowof58k8y25wfhz4j392/40182.pdf?rlkey=4bv4u1ilf0usdajdp1zdwba3r&amp;dl=0" TargetMode="External"/><Relationship Id="rId768" Type="http://schemas.openxmlformats.org/officeDocument/2006/relationships/hyperlink" Target="https://www.dropbox.com/scl/fi/mjedymtmholiiucmorozy/40712.pdf?rlkey=5663j6dams14amg2be4xi3s0s&amp;dl=0" TargetMode="External"/><Relationship Id="rId975" Type="http://schemas.openxmlformats.org/officeDocument/2006/relationships/hyperlink" Target="https://www.dropbox.com/scl/fi/3fy1lqc7kmj3qpjtiy8x4/41627.pdf?rlkey=2x4fq75c2a5avzcnpryh6yrrn&amp;dl=0" TargetMode="External"/><Relationship Id="rId20" Type="http://schemas.openxmlformats.org/officeDocument/2006/relationships/hyperlink" Target="https://www.dropbox.com/scl/fi/4ye9ff54zp78ccyzjlxnk/41324.pdf?rlkey=dy723um390o6ycehvs0w4zso2&amp;dl=0" TargetMode="External"/><Relationship Id="rId628" Type="http://schemas.openxmlformats.org/officeDocument/2006/relationships/hyperlink" Target="https://www.dropbox.com/scl/fi/d7q0ph4otre5422vz2ulv/40337.pdf?rlkey=l54v7764oivgmojk8ocrwnb5w&amp;dl=0" TargetMode="External"/><Relationship Id="rId835" Type="http://schemas.openxmlformats.org/officeDocument/2006/relationships/hyperlink" Target="https://www.dropbox.com/scl/fi/uu7hy3qnhk1ybud4etrd7/40901.pdf?rlkey=acz9bggr7p7vke2k1p195utpa&amp;dl=0" TargetMode="External"/><Relationship Id="rId267" Type="http://schemas.openxmlformats.org/officeDocument/2006/relationships/hyperlink" Target="https://www.dropbox.com/scl/fi/46z5j1z8xijgex07xt8qu/39556.pdf?rlkey=tmrr3h4yrwnunpr0fnesqomu9&amp;dl=0" TargetMode="External"/><Relationship Id="rId474" Type="http://schemas.openxmlformats.org/officeDocument/2006/relationships/hyperlink" Target="https://www.dropbox.com/scl/fi/ubadb313elfpo6ka81oij/40051.pdf?rlkey=nrcmgpg5d4onbct7p6xaut58j&amp;dl=0" TargetMode="External"/><Relationship Id="rId127" Type="http://schemas.openxmlformats.org/officeDocument/2006/relationships/hyperlink" Target="https://www.dropbox.com/scl/fi/8g3go49outzzt3bcjrlql/41059.pdf?rlkey=6zdi5qmfsnq6h03c52pkll4bb&amp;dl=0" TargetMode="External"/><Relationship Id="rId681" Type="http://schemas.openxmlformats.org/officeDocument/2006/relationships/hyperlink" Target="https://www.dropbox.com/scl/fi/lfu54sxeuults3d17en4j/40437.pdf?rlkey=rytdbeib4uc2kivnt6n5wrbff&amp;dl=0" TargetMode="External"/><Relationship Id="rId779" Type="http://schemas.openxmlformats.org/officeDocument/2006/relationships/hyperlink" Target="https://www.dropbox.com/scl/fi/e63y48xva6gjh6fpfgrcx/40729.pdf?rlkey=nmi533uhynbh8ezp0abzvmekv&amp;dl=0" TargetMode="External"/><Relationship Id="rId902" Type="http://schemas.openxmlformats.org/officeDocument/2006/relationships/hyperlink" Target="https://www.dropbox.com/scl/fi/5c7rhm094hdiaq2oqbh2m/41466.pdf?rlkey=9pwy7h3c7vhl76m9jnwvhttxq&amp;dl=0" TargetMode="External"/><Relationship Id="rId986" Type="http://schemas.openxmlformats.org/officeDocument/2006/relationships/hyperlink" Target="https://www.dropbox.com/scl/fi/oowa4xo5uyva9qr107iig/41652.pdf?rlkey=e82c55nipvfg2ndp00pk4u54r&amp;dl=0" TargetMode="External"/><Relationship Id="rId31" Type="http://schemas.openxmlformats.org/officeDocument/2006/relationships/hyperlink" Target="https://www.dropbox.com/scl/fi/ela1dq7rk30b3ghest58l/41106.pdf?rlkey=2u6orq3tlvs4pwv6cbsnh5q0f&amp;dl=0" TargetMode="External"/><Relationship Id="rId334" Type="http://schemas.openxmlformats.org/officeDocument/2006/relationships/hyperlink" Target="https://www.dropbox.com/scl/fi/8pwly4osdkt5gf1p991kk/39734.pdf?rlkey=tp33rdgpds3w2gks0jfyg4ct4&amp;dl=0" TargetMode="External"/><Relationship Id="rId541" Type="http://schemas.openxmlformats.org/officeDocument/2006/relationships/hyperlink" Target="https://www.dropbox.com/scl/fi/frd5lmrmk6lkezub6ea9j/40196.pdf?rlkey=9vcix37j5jkwv3t8ne7qao9y0&amp;dl=0" TargetMode="External"/><Relationship Id="rId639" Type="http://schemas.openxmlformats.org/officeDocument/2006/relationships/hyperlink" Target="https://www.dropbox.com/scl/fi/kth2ouqb7qjaca96l026g/40350.pdf?rlkey=9a6t9i5ka0rnzax31yjpqp1wv&amp;dl=0" TargetMode="External"/><Relationship Id="rId180" Type="http://schemas.openxmlformats.org/officeDocument/2006/relationships/hyperlink" Target="https://www.dropbox.com/scl/fi/ydrua6qlbwlgtksh4asxz/41274.pdf?rlkey=sbg2e9i7wq56eomv7z6yw2ep2&amp;dl=0" TargetMode="External"/><Relationship Id="rId278" Type="http://schemas.openxmlformats.org/officeDocument/2006/relationships/hyperlink" Target="https://www.dropbox.com/scl/fi/eqpi6x46zti9tuohoj4m8/39593.pdf?rlkey=d0zrjwzzsyq0p6ay1xj9i00ql&amp;dl=0" TargetMode="External"/><Relationship Id="rId401" Type="http://schemas.openxmlformats.org/officeDocument/2006/relationships/hyperlink" Target="https://www.dropbox.com/scl/fi/10ecvh7d0u64aof2q1lih/39890.pdf?rlkey=o0muksopk06dqj7ja4787tlgs&amp;dl=0" TargetMode="External"/><Relationship Id="rId846" Type="http://schemas.openxmlformats.org/officeDocument/2006/relationships/hyperlink" Target="https://www.dropbox.com/scl/fi/6f2qan9e5ppggsrj7jsk2/40960.pdf?rlkey=6s1jlvrv5667cgklpunriyaq4&amp;dl=0" TargetMode="External"/><Relationship Id="rId485" Type="http://schemas.openxmlformats.org/officeDocument/2006/relationships/hyperlink" Target="https://www.dropbox.com/scl/fi/7cst4c0ee5p3h0f64wmex/40065.pdf?rlkey=h3l0t9fclyvqqr71vlymixymt&amp;dl=0" TargetMode="External"/><Relationship Id="rId692" Type="http://schemas.openxmlformats.org/officeDocument/2006/relationships/hyperlink" Target="https://www.dropbox.com/scl/fi/tp8kc0hnemq9rpf99ttdu/40454.pdf?rlkey=le4mltuu2s968gj8o3beomg2s&amp;dl=0" TargetMode="External"/><Relationship Id="rId706" Type="http://schemas.openxmlformats.org/officeDocument/2006/relationships/hyperlink" Target="https://www.dropbox.com/scl/fi/tyj65i4xsws0nnwrcjymh/40476.pdf?rlkey=hfurrtxyrullga71mw3l8qn8i&amp;dl=0" TargetMode="External"/><Relationship Id="rId913" Type="http://schemas.openxmlformats.org/officeDocument/2006/relationships/hyperlink" Target="https://www.dropbox.com/scl/fi/mjoypqk86mwz1z2zddjd3/41482.pdf?rlkey=muqeqf6tn7gyp1ys8jhaj8o0x&amp;dl=0" TargetMode="External"/><Relationship Id="rId42" Type="http://schemas.openxmlformats.org/officeDocument/2006/relationships/hyperlink" Target="https://www.dropbox.com/scl/fi/mh8c485917icfwlmzznoh/41100.pdf?rlkey=pdd1drgt5t4psziqp87r2wxj9&amp;dl=0" TargetMode="External"/><Relationship Id="rId138" Type="http://schemas.openxmlformats.org/officeDocument/2006/relationships/hyperlink" Target="https://www.dropbox.com/scl/fi/8tbewjl00la90idkrl3a1/41098.pdf?rlkey=iota03ne4nmzu2jsgyivbbdfi&amp;dl=0" TargetMode="External"/><Relationship Id="rId345" Type="http://schemas.openxmlformats.org/officeDocument/2006/relationships/hyperlink" Target="https://www.dropbox.com/scl/fi/3qmmsqiamu94rmt0v8r83/39748.pdf?rlkey=k5plke51jf835amic19u5ya51&amp;dl=0" TargetMode="External"/><Relationship Id="rId552" Type="http://schemas.openxmlformats.org/officeDocument/2006/relationships/hyperlink" Target="https://www.dropbox.com/scl/fi/l2xn38ndk16o7xrs7imf1/40212.pdf?rlkey=rtmr9m4vqupiujhn8dqd4i417&amp;dl=0" TargetMode="External"/><Relationship Id="rId997" Type="http://schemas.openxmlformats.org/officeDocument/2006/relationships/hyperlink" Target="https://www.dropbox.com/scl/fi/axb0elqth8a8algzyp6tf/41669.pdf?rlkey=uapx93b8dmblzd622z61lj1ea&amp;dl=0" TargetMode="External"/><Relationship Id="rId191" Type="http://schemas.openxmlformats.org/officeDocument/2006/relationships/hyperlink" Target="https://www.dropbox.com/scl/fi/kzfhqwc93sa820wa7xfas/41350.pdf?rlkey=dh61oe4ijhth6nc0n513eycc1&amp;dl=0" TargetMode="External"/><Relationship Id="rId205" Type="http://schemas.openxmlformats.org/officeDocument/2006/relationships/hyperlink" Target="https://www.dropbox.com/scl/fi/0kuj5wpf3vkwteqx3hs8e/41371.pdf?rlkey=poqiw3npzs3h6lkuadk6zk6bn&amp;dl=0" TargetMode="External"/><Relationship Id="rId412" Type="http://schemas.openxmlformats.org/officeDocument/2006/relationships/hyperlink" Target="https://www.dropbox.com/scl/fi/jyd8yjhv8xhdwoycuzeja/39922.pdf?rlkey=3ybmxymwp1hhpb4lhhrcho7k5&amp;dl=0" TargetMode="External"/><Relationship Id="rId857" Type="http://schemas.openxmlformats.org/officeDocument/2006/relationships/hyperlink" Target="https://www.dropbox.com/scl/fi/ynpf92ax6hrhjsn0lkysk/41396.pdf?rlkey=m1fs8s30emf0un8wz35ei3j45&amp;dl=0" TargetMode="External"/><Relationship Id="rId289" Type="http://schemas.openxmlformats.org/officeDocument/2006/relationships/hyperlink" Target="https://www.dropbox.com/scl/fi/z2a71aq1m82qcq9qu27by/39615.pdf?rlkey=84bp4mw3y9al6awcj4palhuq1&amp;dl=0" TargetMode="External"/><Relationship Id="rId496" Type="http://schemas.openxmlformats.org/officeDocument/2006/relationships/hyperlink" Target="https://www.dropbox.com/scl/fi/t51iqqv4zpgxvj8nihomj/40103.pdf?rlkey=8qh7rosopff4i9w5rdqgx4vre&amp;dl=0" TargetMode="External"/><Relationship Id="rId717" Type="http://schemas.openxmlformats.org/officeDocument/2006/relationships/hyperlink" Target="https://www.dropbox.com/scl/fi/kyv4vy2h7whcsrim801h4/40493.pdf?rlkey=r3vdwiwp54efy0tjar2zgrrmt&amp;dl=0" TargetMode="External"/><Relationship Id="rId924" Type="http://schemas.openxmlformats.org/officeDocument/2006/relationships/hyperlink" Target="https://www.dropbox.com/scl/fi/hs4ffytr8u6unwk1p916s/41499.pdf?rlkey=d4ue1aej5we6aaxaupl85izzl&amp;dl=0" TargetMode="External"/><Relationship Id="rId53" Type="http://schemas.openxmlformats.org/officeDocument/2006/relationships/hyperlink" Target="https://www.dropbox.com/scl/fi/3ex71mr46dgg5yutt7lz9/41129.pdf?rlkey=p4sghmrmjp3izv15a19ql0uci&amp;dl=0" TargetMode="External"/><Relationship Id="rId149" Type="http://schemas.openxmlformats.org/officeDocument/2006/relationships/hyperlink" Target="https://www.dropbox.com/scl/fi/hwr7gm15f1j09zdrxxpc2/41152.pdf?rlkey=o0nfxr9rrtdc694i8s4b9j9nr&amp;dl=0" TargetMode="External"/><Relationship Id="rId356" Type="http://schemas.openxmlformats.org/officeDocument/2006/relationships/hyperlink" Target="https://www.dropbox.com/scl/fi/nesowyz32aza90svit9yo/39771.pdf?rlkey=ws9dv6h77fzpumcq3wc24istl&amp;dl=0" TargetMode="External"/><Relationship Id="rId563" Type="http://schemas.openxmlformats.org/officeDocument/2006/relationships/hyperlink" Target="https://www.dropbox.com/scl/fi/jodqmzxg4tqc0f430ey01/40223.pdf?rlkey=l0ewuxk558bsugm2jwys6a1vh&amp;dl=0" TargetMode="External"/><Relationship Id="rId770" Type="http://schemas.openxmlformats.org/officeDocument/2006/relationships/hyperlink" Target="https://www.dropbox.com/scl/fi/yrwmzgez7a29vlegfp59a/40715.pdf?rlkey=2f3pognn0a59jmgtb20gid5as&amp;dl=0" TargetMode="External"/><Relationship Id="rId216" Type="http://schemas.openxmlformats.org/officeDocument/2006/relationships/hyperlink" Target="https://www.dropbox.com/scl/fi/yywojw53c18bg3bsrvdyv/41444.pdf?rlkey=kmet7sbm62tlb4ey6z1cp8tmz&amp;dl=0" TargetMode="External"/><Relationship Id="rId423" Type="http://schemas.openxmlformats.org/officeDocument/2006/relationships/hyperlink" Target="https://www.dropbox.com/scl/fi/gvisppwlsr9vm40bp27tl/39947.pdf?rlkey=nw7xicp4xxt1a6ix2avjh14b7&amp;dl=0" TargetMode="External"/><Relationship Id="rId868" Type="http://schemas.openxmlformats.org/officeDocument/2006/relationships/hyperlink" Target="https://www.dropbox.com/scl/fi/6ymvyho1vktjpjsex9hao/41409.pdf?rlkey=3pgezxy1knb204igooquh3kx5&amp;dl=0" TargetMode="External"/><Relationship Id="rId630" Type="http://schemas.openxmlformats.org/officeDocument/2006/relationships/hyperlink" Target="https://www.dropbox.com/scl/fi/5lurt4cdgx2yqfkzfk950/40339.pdf?rlkey=b5088fdx6uv5e22hlu0npdx2c&amp;dl=0" TargetMode="External"/><Relationship Id="rId728" Type="http://schemas.openxmlformats.org/officeDocument/2006/relationships/hyperlink" Target="https://www.dropbox.com/scl/fi/sgppawxlydw5ewp9iy3ed/40509.pdf?rlkey=v9ay72hl478mx5krvubzq19h6&amp;dl=0" TargetMode="External"/><Relationship Id="rId935" Type="http://schemas.openxmlformats.org/officeDocument/2006/relationships/hyperlink" Target="https://www.dropbox.com/scl/fi/3y5subjnab6se8e5u8fyo/41518.pdf?rlkey=jigegb7sta2tmff1w6azabymm&amp;dl=0" TargetMode="External"/><Relationship Id="rId64" Type="http://schemas.openxmlformats.org/officeDocument/2006/relationships/hyperlink" Target="https://www.dropbox.com/scl/fi/dnc6rlq126j6e9ghd545l/41240.pdf?rlkey=uqd0exvmm31m93d09dyws1kjw&amp;dl=0" TargetMode="External"/><Relationship Id="rId367" Type="http://schemas.openxmlformats.org/officeDocument/2006/relationships/hyperlink" Target="https://www.dropbox.com/scl/fi/msx0iyqbnt4lsnjla1vhc/39805.pdf?rlkey=xsuxjgmswrvq404heh6lh6zr1&amp;dl=0" TargetMode="External"/><Relationship Id="rId574" Type="http://schemas.openxmlformats.org/officeDocument/2006/relationships/hyperlink" Target="https://www.dropbox.com/scl/fi/5nk4zqlx33kidoe0egpln/40236.pdf?rlkey=osfkew6cj4v0w04xcjpmpzmmx&amp;dl=0" TargetMode="External"/><Relationship Id="rId227" Type="http://schemas.openxmlformats.org/officeDocument/2006/relationships/hyperlink" Target="https://www.dropbox.com/scl/fi/vnqja6iwlr4wil74ny67n/39437.pdf?rlkey=rspfxd5iom3f0zocrjq3qdxph&amp;dl=0" TargetMode="External"/><Relationship Id="rId781" Type="http://schemas.openxmlformats.org/officeDocument/2006/relationships/hyperlink" Target="https://www.dropbox.com/scl/fi/30c2d4dhnbzvef6oetz3r/40735.pdf?rlkey=9srzb45e0o816dlk3p8bsrqsh&amp;dl=0" TargetMode="External"/><Relationship Id="rId879" Type="http://schemas.openxmlformats.org/officeDocument/2006/relationships/hyperlink" Target="https://www.dropbox.com/scl/fi/6m0l6j28j8d6flc8ol2ck/41430.pdf?rlkey=wf87hgu9dhkba37k7am0t5p19&amp;dl=0" TargetMode="External"/><Relationship Id="rId434" Type="http://schemas.openxmlformats.org/officeDocument/2006/relationships/hyperlink" Target="https://www.dropbox.com/scl/fi/f593kag1efspdzns15xgc/39964.pdf?rlkey=90mslgd1k7obza42wrg7w6cxs&amp;dl=0" TargetMode="External"/><Relationship Id="rId641" Type="http://schemas.openxmlformats.org/officeDocument/2006/relationships/hyperlink" Target="https://www.dropbox.com/scl/fi/z86p0rqx5wxfljhckuisy/40361.pdf?rlkey=xpncny4mrf86qlwoy1yrryxx4&amp;dl=0" TargetMode="External"/><Relationship Id="rId739" Type="http://schemas.openxmlformats.org/officeDocument/2006/relationships/hyperlink" Target="https://www.dropbox.com/scl/fi/4u8y3g5is1km71hwi6wi3/40522.pdf?rlkey=phxj7y3kc0d88e6xlglwuw0a7&amp;dl=0" TargetMode="External"/><Relationship Id="rId280" Type="http://schemas.openxmlformats.org/officeDocument/2006/relationships/hyperlink" Target="https://www.dropbox.com/scl/fi/nj9yoiempqiougtucvsly/39595.pdf?rlkey=kqn7qky2q54l8qkqy05x1atdt&amp;dl=0" TargetMode="External"/><Relationship Id="rId501" Type="http://schemas.openxmlformats.org/officeDocument/2006/relationships/hyperlink" Target="https://www.dropbox.com/scl/fi/rbpmu3bzh644aj8uzznrz/40120.pdf?rlkey=9fh9kqefpn15vwvzmzaxtrot4&amp;dl=0" TargetMode="External"/><Relationship Id="rId946" Type="http://schemas.openxmlformats.org/officeDocument/2006/relationships/hyperlink" Target="https://www.dropbox.com/scl/fi/h2w2n5qn06q5kfxuqyfky/41542.pdf?rlkey=ovdrfmipr44bxvzgtbuzmhmeb&amp;dl=0" TargetMode="External"/><Relationship Id="rId75" Type="http://schemas.openxmlformats.org/officeDocument/2006/relationships/hyperlink" Target="https://www.dropbox.com/scl/fi/n14bxh2l1b83j5vbq7sao/41206.pdf?rlkey=yjlct8s3q7l7crofdkrxtgoyv&amp;dl=0" TargetMode="External"/><Relationship Id="rId140" Type="http://schemas.openxmlformats.org/officeDocument/2006/relationships/hyperlink" Target="https://www.dropbox.com/scl/fi/tyzrr3zv3wwbyk4pogx5f/41120.pdf?rlkey=yer9be8y8k5djck6jxhlxlbau&amp;dl=0" TargetMode="External"/><Relationship Id="rId378" Type="http://schemas.openxmlformats.org/officeDocument/2006/relationships/hyperlink" Target="https://www.dropbox.com/scl/fi/julcobpgb5d7kkugepjie/39833.pdf?rlkey=2o8vxx61jr0m3kpqi82ojoqwl&amp;dl=0" TargetMode="External"/><Relationship Id="rId585" Type="http://schemas.openxmlformats.org/officeDocument/2006/relationships/hyperlink" Target="https://www.dropbox.com/scl/fi/dh97k59fzvcs5xofgtekr/40275.pdf?rlkey=xso1dyoeythjd82o3e2rns26a&amp;dl=0" TargetMode="External"/><Relationship Id="rId792" Type="http://schemas.openxmlformats.org/officeDocument/2006/relationships/hyperlink" Target="https://www.dropbox.com/scl/fi/sppjyodcabsai4qgpcxjj/40746.pdf?rlkey=uyfa1q0jtm028polgs3z8zrln&amp;dl=0" TargetMode="External"/><Relationship Id="rId806" Type="http://schemas.openxmlformats.org/officeDocument/2006/relationships/hyperlink" Target="https://www.dropbox.com/scl/fi/xo9ybnxuyrcrs0a2aemew/40780.pdf?rlkey=qfiia79f57md45073d3uc3u5h&amp;dl=0" TargetMode="External"/><Relationship Id="rId6" Type="http://schemas.openxmlformats.org/officeDocument/2006/relationships/hyperlink" Target="https://www.dropbox.com/scl/fi/86i47ls6c7lvco165vtnp/41194.pdf?rlkey=woehuxcnoegsq7gct4mx7wqkd&amp;dl=0" TargetMode="External"/><Relationship Id="rId238" Type="http://schemas.openxmlformats.org/officeDocument/2006/relationships/hyperlink" Target="https://www.dropbox.com/scl/fi/d1ecstfdki3ui6c2897tb/39467.pdf?rlkey=k8nfbjm06ysff6t27vy9n8u2e&amp;dl=0" TargetMode="External"/><Relationship Id="rId445" Type="http://schemas.openxmlformats.org/officeDocument/2006/relationships/hyperlink" Target="https://www.dropbox.com/scl/fi/u0axrsek3927ebu2sh1fq/39994.pdf?rlkey=tavn0kps7x97vqcp8unz1854o&amp;dl=0" TargetMode="External"/><Relationship Id="rId652" Type="http://schemas.openxmlformats.org/officeDocument/2006/relationships/hyperlink" Target="https://www.dropbox.com/scl/fi/oixyedykb8a41px5ke5gv/40376.pdf?rlkey=5arzw192y1p8fjlp2l1bn2pmd&amp;dl=0" TargetMode="External"/><Relationship Id="rId291" Type="http://schemas.openxmlformats.org/officeDocument/2006/relationships/hyperlink" Target="https://www.dropbox.com/scl/fi/lkky9fssf93afwu1jmkac/39617.pdf?rlkey=0jutt15t2yqmbucbeny44645x&amp;dl=0" TargetMode="External"/><Relationship Id="rId305" Type="http://schemas.openxmlformats.org/officeDocument/2006/relationships/hyperlink" Target="https://www.dropbox.com/scl/fi/krf9xibagga808lxzjlnh/39648.pdf?rlkey=8a1ixog6utfgxpq9cbmdtzfnm&amp;dl=0" TargetMode="External"/><Relationship Id="rId512" Type="http://schemas.openxmlformats.org/officeDocument/2006/relationships/hyperlink" Target="https://www.dropbox.com/scl/fi/13032vcazpzu7wwhod2qw/40132.pdf?rlkey=zei3m11cokyr1o3q0mtvcrm0n&amp;dl=0" TargetMode="External"/><Relationship Id="rId957" Type="http://schemas.openxmlformats.org/officeDocument/2006/relationships/hyperlink" Target="https://www.dropbox.com/scl/fi/pohwofb7q28lzgo3qq2gt/41575.pdf?rlkey=y3tk28s5ftzps3xbheona977b&amp;dl=0" TargetMode="External"/><Relationship Id="rId86" Type="http://schemas.openxmlformats.org/officeDocument/2006/relationships/hyperlink" Target="https://www.dropbox.com/scl/fi/n0s05qv0riqwv6tmxxp0r/41381.pdf?rlkey=n46hqf9qmlw4bajxe3jmys3l6&amp;dl=0" TargetMode="External"/><Relationship Id="rId151" Type="http://schemas.openxmlformats.org/officeDocument/2006/relationships/hyperlink" Target="https://www.dropbox.com/scl/fi/kj9k9dryiu7dy3duae84r/41154.pdf?rlkey=jerc1zmws2rxr7hpkz0riaus1&amp;dl=0" TargetMode="External"/><Relationship Id="rId389" Type="http://schemas.openxmlformats.org/officeDocument/2006/relationships/hyperlink" Target="https://www.dropbox.com/scl/fi/bro0ybt3xkrd9f86xuwww/39860.pdf?rlkey=fx6ycz7ymmkppsuslfvek16ru&amp;dl=0" TargetMode="External"/><Relationship Id="rId596" Type="http://schemas.openxmlformats.org/officeDocument/2006/relationships/hyperlink" Target="https://www.dropbox.com/scl/fi/kiav6swxkefo9pc4nva3n/40289.pdf?rlkey=wgghto3kr8de4ut1i8894w31e&amp;dl=0" TargetMode="External"/><Relationship Id="rId817" Type="http://schemas.openxmlformats.org/officeDocument/2006/relationships/hyperlink" Target="https://www.dropbox.com/scl/fi/51ney538it9hjyvh2q16h/40798.pdf?rlkey=ld70f50rwixeljmfu5bf5b8op&amp;dl=0" TargetMode="External"/><Relationship Id="rId1002" Type="http://schemas.openxmlformats.org/officeDocument/2006/relationships/hyperlink" Target="https://www.dropbox.com/scl/fi/mwvxpafcliqjhnj50rh60/41694.pdf?rlkey=akj9e3nnvb0sx0a9wd28csfqt&amp;dl=0" TargetMode="External"/><Relationship Id="rId249" Type="http://schemas.openxmlformats.org/officeDocument/2006/relationships/hyperlink" Target="https://www.dropbox.com/scl/fi/60fb7glsueoec7c2rke9c/39495.pdf?rlkey=2783dq4tgd33q1xp2qwdrxh8i&amp;dl=0" TargetMode="External"/><Relationship Id="rId456" Type="http://schemas.openxmlformats.org/officeDocument/2006/relationships/hyperlink" Target="https://www.dropbox.com/scl/fi/ekk45hngfzjv856oqhgz0/40013.pdf?rlkey=s1nhbyoye9grhyw0dueyyosq1&amp;dl=0" TargetMode="External"/><Relationship Id="rId663" Type="http://schemas.openxmlformats.org/officeDocument/2006/relationships/hyperlink" Target="https://www.dropbox.com/scl/fi/7xtda2o5ck29mvyg47tkd/40401.pdf?rlkey=9ewt8ublxj4rvx8gqhhh2h99n&amp;dl=0" TargetMode="External"/><Relationship Id="rId870" Type="http://schemas.openxmlformats.org/officeDocument/2006/relationships/hyperlink" Target="https://www.dropbox.com/scl/fi/fsk8jy57osz16zp9ke3f2/41417.pdf?rlkey=dajlnsgko1oo3dbl3t3g7sb1d&amp;dl=0" TargetMode="External"/><Relationship Id="rId13" Type="http://schemas.openxmlformats.org/officeDocument/2006/relationships/hyperlink" Target="https://www.dropbox.com/scl/fi/ythizwhtir8y0dw5kwji4/41283.pdf?rlkey=0kmm9f7qiprzyfq6epyb6au81&amp;dl=0" TargetMode="External"/><Relationship Id="rId109" Type="http://schemas.openxmlformats.org/officeDocument/2006/relationships/hyperlink" Target="https://www.dropbox.com/scl/fi/8izklzkdnvj8q9qpnep0z/40988.pdf?rlkey=10zev8jbmumim6nsrpaiznad1&amp;dl=0" TargetMode="External"/><Relationship Id="rId316" Type="http://schemas.openxmlformats.org/officeDocument/2006/relationships/hyperlink" Target="https://www.dropbox.com/scl/fi/vy9j77tg8py2nk0yb3xhe/39672.pdf?rlkey=s7uc4cm0b6wvf1xgs7i8k0842&amp;dl=0" TargetMode="External"/><Relationship Id="rId523" Type="http://schemas.openxmlformats.org/officeDocument/2006/relationships/hyperlink" Target="https://www.dropbox.com/scl/fi/fb3b4i8o5kcc9hzrm4wxm/40173.pdf?rlkey=gn88lvtk9nsltju0fw2yovw10&amp;dl=0" TargetMode="External"/><Relationship Id="rId968" Type="http://schemas.openxmlformats.org/officeDocument/2006/relationships/hyperlink" Target="https://www.dropbox.com/scl/fi/hwt8csstxtdz3kfs54gw6/41595.pdf?rlkey=yn4piz8h0njfw8j2z1l4t3xpq&amp;dl=0" TargetMode="External"/><Relationship Id="rId97" Type="http://schemas.openxmlformats.org/officeDocument/2006/relationships/hyperlink" Target="https://www.dropbox.com/scl/fi/v52ua1gj2b2kr1wqt4gfw/40479.pdf?rlkey=dpmb3jbmdz6k7shk7jy5xrwdv&amp;dl=0" TargetMode="External"/><Relationship Id="rId730" Type="http://schemas.openxmlformats.org/officeDocument/2006/relationships/hyperlink" Target="https://www.dropbox.com/scl/fi/10anncupbs32zu21gmakx/40511.pdf?rlkey=axdp9x93tpyngswxzvwpsru8a&amp;dl=0" TargetMode="External"/><Relationship Id="rId828" Type="http://schemas.openxmlformats.org/officeDocument/2006/relationships/hyperlink" Target="https://www.dropbox.com/scl/fi/7x4iq3yv4vl28o84oqyd2/40870.pdf?rlkey=7psje71e86zotrhzvs7ahclvy&amp;dl=0" TargetMode="External"/><Relationship Id="rId162" Type="http://schemas.openxmlformats.org/officeDocument/2006/relationships/hyperlink" Target="https://www.dropbox.com/scl/fi/fwpys3socupbbhctb2185/41195.pdf?rlkey=yofne2zq7qyin6yzy8w7o38f4&amp;dl=0" TargetMode="External"/><Relationship Id="rId467" Type="http://schemas.openxmlformats.org/officeDocument/2006/relationships/hyperlink" Target="https://www.dropbox.com/scl/fi/n0atar5lm944po8oa9t9d/40042.pdf?rlkey=6oct87pnbnvtc2m8s675wrb1e&amp;dl=0" TargetMode="External"/><Relationship Id="rId674" Type="http://schemas.openxmlformats.org/officeDocument/2006/relationships/hyperlink" Target="https://www.dropbox.com/scl/fi/koogu9ct2xn3ylebwhgs5/40424.pdf?rlkey=jw9noe576xicg6lo77yzxcka5&amp;dl=0" TargetMode="External"/><Relationship Id="rId881" Type="http://schemas.openxmlformats.org/officeDocument/2006/relationships/hyperlink" Target="https://www.dropbox.com/scl/fi/awwphxi6a48yvvd0x68m6/41432.pdf?rlkey=60p3rpl1al4066m3zu85gmxdb&amp;dl=0" TargetMode="External"/><Relationship Id="rId979" Type="http://schemas.openxmlformats.org/officeDocument/2006/relationships/hyperlink" Target="https://www.dropbox.com/scl/fi/ywb9ksrrqnvwp8w7o1si8/41632.pdf?rlkey=x5dd4yra5ygup9nk3qjeoncba&amp;dl=0" TargetMode="External"/><Relationship Id="rId24" Type="http://schemas.openxmlformats.org/officeDocument/2006/relationships/hyperlink" Target="https://www.dropbox.com/scl/fi/kk408qalz8b7z26c4hmtz/41104.pdf?rlkey=2voft1jhllojpfq9xgwyuiv2e&amp;dl=0" TargetMode="External"/><Relationship Id="rId327" Type="http://schemas.openxmlformats.org/officeDocument/2006/relationships/hyperlink" Target="https://www.dropbox.com/scl/fi/2opeu56tmgtfk1gakf2w4/39722.pdf?rlkey=peq7a8kxiws6jjh5djhgj7o2n&amp;dl=0" TargetMode="External"/><Relationship Id="rId534" Type="http://schemas.openxmlformats.org/officeDocument/2006/relationships/hyperlink" Target="https://www.dropbox.com/scl/fi/al5avjto6k6m16o0bi5tx/40186.pdf?rlkey=h2nlnphbyuezutvrwef24e2kp&amp;dl=0" TargetMode="External"/><Relationship Id="rId741" Type="http://schemas.openxmlformats.org/officeDocument/2006/relationships/hyperlink" Target="https://www.dropbox.com/scl/fi/6j8k84zvixsdzm8dh6yan/40524.pdf?rlkey=q5ado22wdt74dawyyzwwatmj7&amp;dl=0" TargetMode="External"/><Relationship Id="rId839" Type="http://schemas.openxmlformats.org/officeDocument/2006/relationships/hyperlink" Target="https://www.dropbox.com/scl/fi/qxa1zyhqb938ktspexpjz/40928.pdf?rlkey=cp2z4q3perrbfecv9rj08k2do&amp;dl=0" TargetMode="External"/><Relationship Id="rId173" Type="http://schemas.openxmlformats.org/officeDocument/2006/relationships/hyperlink" Target="https://www.dropbox.com/scl/fi/i8ryoo22rpg0dapirceua/41238.pdf?rlkey=s9pkexrj2hlwkhs8kngrzt4l2&amp;dl=0" TargetMode="External"/><Relationship Id="rId380" Type="http://schemas.openxmlformats.org/officeDocument/2006/relationships/hyperlink" Target="https://www.dropbox.com/scl/fi/uo8ubpgd2mlsoh8i26u21/39840.pdf?rlkey=s05ecj8ougz76aye4njehkbzn&amp;dl=0" TargetMode="External"/><Relationship Id="rId601" Type="http://schemas.openxmlformats.org/officeDocument/2006/relationships/hyperlink" Target="https://www.dropbox.com/scl/fi/hxagzftyhg377962h8do7/40295.pdf?rlkey=hrqt25jigqrjqg9fah4lekyso&amp;dl=0" TargetMode="External"/><Relationship Id="rId240" Type="http://schemas.openxmlformats.org/officeDocument/2006/relationships/hyperlink" Target="https://www.dropbox.com/scl/fi/w8p9b7olajzfrrttlxxlj/39469.pdf?rlkey=8vq7809kydpfrvda0cfq26dnm&amp;dl=0" TargetMode="External"/><Relationship Id="rId478" Type="http://schemas.openxmlformats.org/officeDocument/2006/relationships/hyperlink" Target="https://www.dropbox.com/scl/fi/9xm7aqt6ytw4fetfl7u7s/40057.pdf?rlkey=usdq2k7apyk109st5wdnc6l7t&amp;dl=0" TargetMode="External"/><Relationship Id="rId685" Type="http://schemas.openxmlformats.org/officeDocument/2006/relationships/hyperlink" Target="https://www.dropbox.com/scl/fi/8d5q1nnr3orxkwhu490o9/40441.pdf?rlkey=qa2ca7cdp5gdygjlhsz0vjdas&amp;dl=0" TargetMode="External"/><Relationship Id="rId892" Type="http://schemas.openxmlformats.org/officeDocument/2006/relationships/hyperlink" Target="https://www.dropbox.com/scl/fi/i7fx49waqg3kzqzabch0w/41454.pdf?rlkey=pzmlqjz54ca28udmcyjb4wht8&amp;dl=0" TargetMode="External"/><Relationship Id="rId906" Type="http://schemas.openxmlformats.org/officeDocument/2006/relationships/hyperlink" Target="https://www.dropbox.com/scl/fi/gs9gnx5yojuggwwyy4pv3/41471.pdf?rlkey=fi6fql7o0ldkmc34adfsu1hj5&amp;dl=0" TargetMode="External"/><Relationship Id="rId35" Type="http://schemas.openxmlformats.org/officeDocument/2006/relationships/hyperlink" Target="https://www.dropbox.com/scl/fi/y1nh1tekoc3eyrvhzw6sd/41069.pdf?rlkey=t8g6oe29wv9sfbyyj27nyd7ls&amp;dl=0" TargetMode="External"/><Relationship Id="rId100" Type="http://schemas.openxmlformats.org/officeDocument/2006/relationships/hyperlink" Target="https://www.dropbox.com/scl/fi/29f4pedw166o9lf11qcwh/40762.pdf?rlkey=9p4fqwa5133pabz7cjjexwmby&amp;dl=0" TargetMode="External"/><Relationship Id="rId338" Type="http://schemas.openxmlformats.org/officeDocument/2006/relationships/hyperlink" Target="https://www.dropbox.com/scl/fi/t4laf29spe371bkelut06/39738.pdf?rlkey=g4vk7k4zz6en03nhkc1723lni&amp;dl=0" TargetMode="External"/><Relationship Id="rId545" Type="http://schemas.openxmlformats.org/officeDocument/2006/relationships/hyperlink" Target="https://www.dropbox.com/scl/fi/vy78fbsnqvpfwt3iwv8p3/40203.pdf?rlkey=m5c2l26q8mlimy6mqf47bkcr5&amp;dl=0" TargetMode="External"/><Relationship Id="rId752" Type="http://schemas.openxmlformats.org/officeDocument/2006/relationships/hyperlink" Target="https://www.dropbox.com/scl/fi/qcxbla0lu8z6s1qa9wblq/40545.pdf?rlkey=8jxokb0ivoia8k3jxw7hk6wn2&amp;dl=0" TargetMode="External"/><Relationship Id="rId184" Type="http://schemas.openxmlformats.org/officeDocument/2006/relationships/hyperlink" Target="https://www.dropbox.com/scl/fi/dkegcsz3dm9amjz8v1cxm/41317.pdf?rlkey=cm1ixbs7vhp68bt91rqkyyg8o&amp;dl=0" TargetMode="External"/><Relationship Id="rId391" Type="http://schemas.openxmlformats.org/officeDocument/2006/relationships/hyperlink" Target="https://www.dropbox.com/scl/fi/k77quw3m2f1ty7ydvfpi9/39862.pdf?rlkey=b1ab5mf63t7h06a4bl9oiig7f&amp;dl=0" TargetMode="External"/><Relationship Id="rId405" Type="http://schemas.openxmlformats.org/officeDocument/2006/relationships/hyperlink" Target="https://www.dropbox.com/scl/fi/uecmbkl79ezhs1e4una98/39895.pdf?rlkey=zhfu26cch2t343rranlowprtj&amp;dl=0" TargetMode="External"/><Relationship Id="rId612" Type="http://schemas.openxmlformats.org/officeDocument/2006/relationships/hyperlink" Target="https://www.dropbox.com/scl/fi/48tp63v0sb0fxgbitnqu2/40312.pdf?rlkey=ye9u1tmkjo0j2h0szd4lrokpx&amp;dl=0" TargetMode="External"/><Relationship Id="rId251" Type="http://schemas.openxmlformats.org/officeDocument/2006/relationships/hyperlink" Target="https://www.dropbox.com/scl/fi/8b38xlh9i0smeuarywj18/39504.pdf?rlkey=2bj3rs4p5s6mh8e8u8ut6m10b&amp;dl=0" TargetMode="External"/><Relationship Id="rId489" Type="http://schemas.openxmlformats.org/officeDocument/2006/relationships/hyperlink" Target="https://www.dropbox.com/scl/fi/3qsf3vt1dv0p7z7m9xquc/40075.pdf?rlkey=96nx9oqc4r76v2emxbbyhtnu6&amp;dl=0" TargetMode="External"/><Relationship Id="rId696" Type="http://schemas.openxmlformats.org/officeDocument/2006/relationships/hyperlink" Target="https://www.dropbox.com/scl/fi/9gkzmw3u78nyqftpgccg8/40458.pdf?rlkey=ur4jdtv44v1fyz08qtouz0wqq&amp;dl=0" TargetMode="External"/><Relationship Id="rId917" Type="http://schemas.openxmlformats.org/officeDocument/2006/relationships/hyperlink" Target="https://www.dropbox.com/scl/fi/1337y21t5kb1rnylg1ewx/41486.pdf?rlkey=1c795knhof3o1h9y9l5kvo5xf&amp;dl=0" TargetMode="External"/><Relationship Id="rId46" Type="http://schemas.openxmlformats.org/officeDocument/2006/relationships/hyperlink" Target="https://www.dropbox.com/scl/fi/q16bshtfu2wpvr7lfbnaz/41236.pdf?rlkey=nb8n88w0hil5idg8d065dv3cs&amp;dl=0" TargetMode="External"/><Relationship Id="rId349" Type="http://schemas.openxmlformats.org/officeDocument/2006/relationships/hyperlink" Target="https://www.dropbox.com/scl/fi/xpwgpbcvshu7wempnzwby/39757.pdf?rlkey=25rm25gyrt7w87ylvhvx418n4&amp;dl=0" TargetMode="External"/><Relationship Id="rId556" Type="http://schemas.openxmlformats.org/officeDocument/2006/relationships/hyperlink" Target="https://www.dropbox.com/scl/fi/88zwnz73u8b5h84qjhyw2/40216.pdf?rlkey=8xf1eija72ixiq62o9n50rcq2&amp;dl=0" TargetMode="External"/><Relationship Id="rId763" Type="http://schemas.openxmlformats.org/officeDocument/2006/relationships/hyperlink" Target="https://www.dropbox.com/scl/fi/ew9xif02wy8ba3lyucy4n/40706.pdf?rlkey=ij99xg8gurltpjn91fcactq7l&amp;dl=0" TargetMode="External"/><Relationship Id="rId111" Type="http://schemas.openxmlformats.org/officeDocument/2006/relationships/hyperlink" Target="https://www.dropbox.com/scl/fi/w5yy7hjl8d9m8brtmr48o/40995.pdf?rlkey=kt0pxear4g2bsxpch9pffo6uk&amp;dl=0" TargetMode="External"/><Relationship Id="rId195" Type="http://schemas.openxmlformats.org/officeDocument/2006/relationships/hyperlink" Target="https://www.dropbox.com/scl/fi/1u6q5olwurhc2baqjsm2u/41354.pdf?rlkey=b1dadpqtaqltpn0j522refdps&amp;dl=0" TargetMode="External"/><Relationship Id="rId209" Type="http://schemas.openxmlformats.org/officeDocument/2006/relationships/hyperlink" Target="https://www.dropbox.com/scl/fi/o6ii07k2yvhk6rlzydvn7/41375.pdf?rlkey=fyitj53o61pwe9qjrmo6qi0sm&amp;dl=0" TargetMode="External"/><Relationship Id="rId416" Type="http://schemas.openxmlformats.org/officeDocument/2006/relationships/hyperlink" Target="https://www.dropbox.com/scl/fi/sr6n7krnro8fu4wjk33k8/39927.pdf?rlkey=oszpeeu9cbbm4q1fv23v83f3s&amp;dl=0" TargetMode="External"/><Relationship Id="rId970" Type="http://schemas.openxmlformats.org/officeDocument/2006/relationships/hyperlink" Target="https://www.dropbox.com/scl/fi/5m4sf32i6gqdeye2agvh0/41597.pdf?rlkey=cgvsh3jfnuwrjmg22t6k48naz&amp;dl=0" TargetMode="External"/><Relationship Id="rId623" Type="http://schemas.openxmlformats.org/officeDocument/2006/relationships/hyperlink" Target="https://www.dropbox.com/scl/fi/4w4ocbxdtfsgxaxqfpulu/40324.pdf?rlkey=923h4ytpao4pkv3onvq140f2c&amp;dl=0" TargetMode="External"/><Relationship Id="rId830" Type="http://schemas.openxmlformats.org/officeDocument/2006/relationships/hyperlink" Target="https://www.dropbox.com/scl/fi/xx2aa99dyvmsfbq7z5ahv/40872.pdf?rlkey=kp71kxjhoeik5z6pedpz8ammq&amp;dl=0" TargetMode="External"/><Relationship Id="rId928" Type="http://schemas.openxmlformats.org/officeDocument/2006/relationships/hyperlink" Target="https://www.dropbox.com/scl/fi/yl7a2xmjmq40qy95llzdr/41504.pdf?rlkey=38jglanjzl8vj2ncwedits933&amp;dl=0" TargetMode="External"/><Relationship Id="rId57" Type="http://schemas.openxmlformats.org/officeDocument/2006/relationships/hyperlink" Target="https://www.dropbox.com/scl/fi/h6muwxpnc0mzhjsh5infh/41116.pdf?rlkey=5rizh6wdhnrekqsaal2v3c1hy&amp;dl=0" TargetMode="External"/><Relationship Id="rId262" Type="http://schemas.openxmlformats.org/officeDocument/2006/relationships/hyperlink" Target="https://www.dropbox.com/scl/fi/4ale29beqpcndopdndn5n/39531.pdf?rlkey=3pm1qga48bqlrjf0csqp858wa&amp;dl=0" TargetMode="External"/><Relationship Id="rId567" Type="http://schemas.openxmlformats.org/officeDocument/2006/relationships/hyperlink" Target="https://www.dropbox.com/scl/fi/uhy5m1sf0hf37urjiwo32/40228.pdf?rlkey=1j9dopah8lghtz0dhpjw33y5v&amp;dl=0" TargetMode="External"/><Relationship Id="rId122" Type="http://schemas.openxmlformats.org/officeDocument/2006/relationships/hyperlink" Target="https://www.dropbox.com/scl/fi/0c4ctyor4thq24kz1x1o2/41037.pdf?rlkey=ye7hz37ggnwlsrowtfc8uiwac&amp;dl=0" TargetMode="External"/><Relationship Id="rId774" Type="http://schemas.openxmlformats.org/officeDocument/2006/relationships/hyperlink" Target="https://www.dropbox.com/scl/fi/pvfhgr1b321s9091geefk/40722.pdf?rlkey=vzgng4ug0e9zvbi431e3yu1l5&amp;dl=0" TargetMode="External"/><Relationship Id="rId981" Type="http://schemas.openxmlformats.org/officeDocument/2006/relationships/hyperlink" Target="https://www.dropbox.com/scl/fi/j8eipwnd1hjyb2v3d5j4r/41644.pdf?rlkey=u7nniiyhixy4pvwnil3tg2zp7&amp;dl=0" TargetMode="External"/><Relationship Id="rId427" Type="http://schemas.openxmlformats.org/officeDocument/2006/relationships/hyperlink" Target="https://www.dropbox.com/scl/fi/eqlfdmc8j7hjo1hawl6so/39952.pdf?rlkey=p1kx63hrp7ncsf5srtqrk6i1t&amp;dl=0" TargetMode="External"/><Relationship Id="rId634" Type="http://schemas.openxmlformats.org/officeDocument/2006/relationships/hyperlink" Target="https://www.dropbox.com/scl/fi/zgxmr72ns0asmjshdcufr/40344.pdf?rlkey=z1gm9ovzgcenvpmqwj8kjff5i&amp;dl=0" TargetMode="External"/><Relationship Id="rId841" Type="http://schemas.openxmlformats.org/officeDocument/2006/relationships/hyperlink" Target="https://www.dropbox.com/scl/fi/ezjtuueczgvrg7u7zlu6n/40932.pdf?rlkey=14o1r7d03yu7glewmf57loare&amp;dl=0" TargetMode="External"/><Relationship Id="rId273" Type="http://schemas.openxmlformats.org/officeDocument/2006/relationships/hyperlink" Target="https://www.dropbox.com/scl/fi/2h558sxc99lj0b99q4udh/39577.pdf?rlkey=zvm8eidgf6n9ee0lm0m6dv47a&amp;dl=0" TargetMode="External"/><Relationship Id="rId480" Type="http://schemas.openxmlformats.org/officeDocument/2006/relationships/hyperlink" Target="https://www.dropbox.com/scl/fi/hy8nwfrg2j9y5dvk559pa/40059.pdf?rlkey=qb76qv2g0wfhmtwiwaf0lvp5w&amp;dl=0" TargetMode="External"/><Relationship Id="rId701" Type="http://schemas.openxmlformats.org/officeDocument/2006/relationships/hyperlink" Target="https://www.dropbox.com/scl/fi/efxwjqspuhdestyxy09ql/40467.pdf?rlkey=ybomzmf0lg4w346nbgpw1hn1e&amp;dl=0" TargetMode="External"/><Relationship Id="rId939" Type="http://schemas.openxmlformats.org/officeDocument/2006/relationships/hyperlink" Target="https://www.dropbox.com/scl/fi/3ostiff5z2dr764mzw7ee/41522.pdf?rlkey=sxemcpvos6kxclo9oc151a9vo&amp;dl=0" TargetMode="External"/><Relationship Id="rId68" Type="http://schemas.openxmlformats.org/officeDocument/2006/relationships/hyperlink" Target="https://www.dropbox.com/scl/fi/cn7dsz38jtuwhmpd3m6x3/41362.pdf?rlkey=2qbtdgsvjnyrzv2eckkkeo8pq&amp;dl=0" TargetMode="External"/><Relationship Id="rId133" Type="http://schemas.openxmlformats.org/officeDocument/2006/relationships/hyperlink" Target="https://www.dropbox.com/scl/fi/i2wt2pwz0mv7wk8enxke4/41091.pdf?rlkey=2zbu24co2vhsnr7pimckry9gb&amp;dl=0" TargetMode="External"/><Relationship Id="rId340" Type="http://schemas.openxmlformats.org/officeDocument/2006/relationships/hyperlink" Target="https://www.dropbox.com/scl/fi/fhcwjrykgesx2g3odqens/39740.pdf?rlkey=e5lbjbstvuic1hwlgvb0spxcr&amp;dl=0" TargetMode="External"/><Relationship Id="rId578" Type="http://schemas.openxmlformats.org/officeDocument/2006/relationships/hyperlink" Target="https://www.dropbox.com/scl/fi/3kvp4pimvsuovm5t0tjp5/40241.pdf?rlkey=avzbqozeexzlsrygcbe90n22k&amp;dl=0" TargetMode="External"/><Relationship Id="rId785" Type="http://schemas.openxmlformats.org/officeDocument/2006/relationships/hyperlink" Target="https://www.dropbox.com/scl/fi/0bnibf6sh92djy9428shv/40739.pdf?rlkey=9qbj3x7k8ekz2oep7vjt9oeev&amp;dl=0" TargetMode="External"/><Relationship Id="rId992" Type="http://schemas.openxmlformats.org/officeDocument/2006/relationships/hyperlink" Target="https://www.dropbox.com/scl/fi/lyq7563ktlpoqzvb372vf/41662.pdf?rlkey=wuutae2k8uv9l613dlr8g17yl&amp;dl=0" TargetMode="External"/><Relationship Id="rId200" Type="http://schemas.openxmlformats.org/officeDocument/2006/relationships/hyperlink" Target="https://www.dropbox.com/scl/fi/1pmhsst5xgsvv8q5sksl2/41359.pdf?rlkey=krf1i0gom24rgfff3iwqe5uw9&amp;dl=0" TargetMode="External"/><Relationship Id="rId438" Type="http://schemas.openxmlformats.org/officeDocument/2006/relationships/hyperlink" Target="https://www.dropbox.com/scl/fi/61ag60mmfoefrjdmuluob/39978.pdf?rlkey=sma49yujeblafujx04flr1yxq&amp;dl=0" TargetMode="External"/><Relationship Id="rId645" Type="http://schemas.openxmlformats.org/officeDocument/2006/relationships/hyperlink" Target="https://www.dropbox.com/scl/fi/kull1qjkpof6ajv0dsv6l/40367.pdf?rlkey=wf6g3zqbqllrp0036o2q3li8d&amp;dl=0" TargetMode="External"/><Relationship Id="rId852" Type="http://schemas.openxmlformats.org/officeDocument/2006/relationships/hyperlink" Target="https://www.dropbox.com/scl/fi/tbz586h7fe9amz7u4hii4/41390.pdf?rlkey=xwp7v88kmklzbdhgw93alll06&amp;dl=0" TargetMode="External"/><Relationship Id="rId284" Type="http://schemas.openxmlformats.org/officeDocument/2006/relationships/hyperlink" Target="https://www.dropbox.com/scl/fi/jtpiypy5ohoxdpymkx1li/39608.pdf?rlkey=qad9arye3iitpix0bzdi2f6ik&amp;dl=0" TargetMode="External"/><Relationship Id="rId491" Type="http://schemas.openxmlformats.org/officeDocument/2006/relationships/hyperlink" Target="https://www.dropbox.com/scl/fi/c5gabhl4moug7frhdud3e/40079.pdf?rlkey=umjpbaahmufbwr1j1b1aqr7op&amp;dl=0" TargetMode="External"/><Relationship Id="rId505" Type="http://schemas.openxmlformats.org/officeDocument/2006/relationships/hyperlink" Target="https://www.dropbox.com/scl/fi/8q9dh0nk9n24u54gccarr/40125.pdf?rlkey=umhykw8h2z9j53udp7o4j7wdd&amp;dl=0" TargetMode="External"/><Relationship Id="rId712" Type="http://schemas.openxmlformats.org/officeDocument/2006/relationships/hyperlink" Target="https://www.dropbox.com/scl/fi/4bbz215ybkp1fip4fbrx8/40484.pdf?rlkey=l323w8kvc4423zq30ipkuh7br&amp;dl=0" TargetMode="External"/><Relationship Id="rId79" Type="http://schemas.openxmlformats.org/officeDocument/2006/relationships/hyperlink" Target="https://www.dropbox.com/scl/fi/zbtyp2eesyc9lub3bfpj0/41241.pdf?rlkey=hqgaect0yrmu4hpaisr03yv9v&amp;dl=0" TargetMode="External"/><Relationship Id="rId144" Type="http://schemas.openxmlformats.org/officeDocument/2006/relationships/hyperlink" Target="https://www.dropbox.com/scl/fi/lc5qi5soimwgpg5lp44ov/41132.pdf?rlkey=qyejhuepcpn4k504kxyl0rqma&amp;dl=0" TargetMode="External"/><Relationship Id="rId589" Type="http://schemas.openxmlformats.org/officeDocument/2006/relationships/hyperlink" Target="https://www.dropbox.com/scl/fi/7onetxl9bvmysiuwz8cg4/40279.pdf?rlkey=5gkhq8tj2ce3bukv5pf52al7w&amp;dl=0" TargetMode="External"/><Relationship Id="rId796" Type="http://schemas.openxmlformats.org/officeDocument/2006/relationships/hyperlink" Target="https://www.dropbox.com/scl/fi/72klih5fmx4ht6rytaqob/40752.pdf?rlkey=dzchq1dkli8wb6ujtbuf4u6pj&amp;dl=0" TargetMode="External"/><Relationship Id="rId351" Type="http://schemas.openxmlformats.org/officeDocument/2006/relationships/hyperlink" Target="https://www.dropbox.com/scl/fi/74f7ifujqabe3yyrik99s/39759.pdf?rlkey=poouloxva9lp44kl9gv700a1m&amp;dl=0" TargetMode="External"/><Relationship Id="rId449" Type="http://schemas.openxmlformats.org/officeDocument/2006/relationships/hyperlink" Target="https://www.dropbox.com/scl/fi/zqxys938twucfx0icwgjv/40001.pdf?rlkey=g3vu8jalinxamdm2sm70mx242&amp;dl=0" TargetMode="External"/><Relationship Id="rId656" Type="http://schemas.openxmlformats.org/officeDocument/2006/relationships/hyperlink" Target="https://www.dropbox.com/scl/fi/xuh2pnngs65xxztl4no2x/40382.pdf?rlkey=12gcfj6to1n0w06hcz89h66g2&amp;dl=0" TargetMode="External"/><Relationship Id="rId863" Type="http://schemas.openxmlformats.org/officeDocument/2006/relationships/hyperlink" Target="https://www.dropbox.com/scl/fi/693jcl6rtgvzo0i1zvuua/41404.pdf?rlkey=ndkk1p9qp5j9xw2qjiiukkrjc&amp;dl=0" TargetMode="External"/><Relationship Id="rId211" Type="http://schemas.openxmlformats.org/officeDocument/2006/relationships/hyperlink" Target="https://www.dropbox.com/scl/fi/0i2z9tcnmxtgdwtcl82tr/41377.pdf?rlkey=c3w5tiay1sy4xp8xz1lmq2qcw&amp;dl=0" TargetMode="External"/><Relationship Id="rId295" Type="http://schemas.openxmlformats.org/officeDocument/2006/relationships/hyperlink" Target="https://www.dropbox.com/scl/fi/x212sgp6c65exz7o5hag7/39623.pdf?rlkey=2fxtxfae96mj4kzmknbaqybti&amp;dl=0" TargetMode="External"/><Relationship Id="rId309" Type="http://schemas.openxmlformats.org/officeDocument/2006/relationships/hyperlink" Target="https://www.dropbox.com/scl/fi/v1avqqktanns7ls8lzs2m/39658.pdf?rlkey=h0kuhbaik9pj0uznb3rymmksf&amp;dl=0" TargetMode="External"/><Relationship Id="rId516" Type="http://schemas.openxmlformats.org/officeDocument/2006/relationships/hyperlink" Target="https://www.dropbox.com/scl/fi/85wxohau3b4txhrdty1ie/40155.pdf?rlkey=t2ls0ckwq8lblultkloklx0te&amp;dl=0" TargetMode="External"/><Relationship Id="rId723" Type="http://schemas.openxmlformats.org/officeDocument/2006/relationships/hyperlink" Target="https://www.dropbox.com/scl/fi/vcwls8cipu0ubtzohbrx4/40504.pdf?rlkey=5qbayk251aky70q5sdt2w6ucl&amp;dl=0" TargetMode="External"/><Relationship Id="rId930" Type="http://schemas.openxmlformats.org/officeDocument/2006/relationships/hyperlink" Target="https://www.dropbox.com/scl/fi/cfi9w0m49tls1ca9avoi3/41507.pdf?rlkey=ye3z15pn0zx460ivg6rpbdb58&amp;dl=0" TargetMode="External"/><Relationship Id="rId1006" Type="http://schemas.openxmlformats.org/officeDocument/2006/relationships/hyperlink" Target="https://www.dropbox.com/scl/fi/6jhv0ydc4tic85gc9gdtd/41706.pdf?rlkey=1xk1odo8mnlkx3pegb6dn72ph&amp;dl=0" TargetMode="External"/><Relationship Id="rId155" Type="http://schemas.openxmlformats.org/officeDocument/2006/relationships/hyperlink" Target="https://www.dropbox.com/scl/fi/0dssxpyb3j3pm6duwdkdq/41168.pdf?rlkey=z597tye0ksu0eeihn1s5i67xf&amp;dl=0" TargetMode="External"/><Relationship Id="rId362" Type="http://schemas.openxmlformats.org/officeDocument/2006/relationships/hyperlink" Target="https://www.dropbox.com/scl/fi/u94dch2akgble1nqwdd72/39792.pdf?rlkey=he0rjaigsuudtl327wjm62gmt&amp;dl=0" TargetMode="External"/><Relationship Id="rId222" Type="http://schemas.openxmlformats.org/officeDocument/2006/relationships/hyperlink" Target="https://www.dropbox.com/scl/fi/t91jm5l3lpt8cyoiy0rad/39420.pdf?rlkey=bi0itxq0iw5vzspryr4ir1irh&amp;dl=0" TargetMode="External"/><Relationship Id="rId667" Type="http://schemas.openxmlformats.org/officeDocument/2006/relationships/hyperlink" Target="https://www.dropbox.com/scl/fi/4vc76bpygnjazzxrmbivn/40417.pdf?rlkey=ktw3x6btuc9tun5a1hh1qdouq&amp;dl=0" TargetMode="External"/><Relationship Id="rId874" Type="http://schemas.openxmlformats.org/officeDocument/2006/relationships/hyperlink" Target="https://www.dropbox.com/scl/fi/j4faax2dj6bwor71zijq7/41421.pdf?rlkey=jj549hv75qu0gtgxeh5k48vop&amp;dl=0" TargetMode="External"/><Relationship Id="rId17" Type="http://schemas.openxmlformats.org/officeDocument/2006/relationships/hyperlink" Target="https://www.dropbox.com/scl/fi/1z9gdsk4v4kw5xokyq6g8/41262.pdf?rlkey=oleyow1zzzr904oskyq6aoaqs&amp;dl=0" TargetMode="External"/><Relationship Id="rId527" Type="http://schemas.openxmlformats.org/officeDocument/2006/relationships/hyperlink" Target="https://www.dropbox.com/scl/fi/316tgcq9nmgva4rs7ihq7/40178.pdf?rlkey=c9kagvt74er1gxzgkmqfzcg7x&amp;dl=0" TargetMode="External"/><Relationship Id="rId734" Type="http://schemas.openxmlformats.org/officeDocument/2006/relationships/hyperlink" Target="https://www.dropbox.com/scl/fi/k18nfpcjop5xpfus2sg0g/40515.pdf?rlkey=ovzhswmjpxyvssnrtexgoydmk&amp;dl=0" TargetMode="External"/><Relationship Id="rId941" Type="http://schemas.openxmlformats.org/officeDocument/2006/relationships/hyperlink" Target="https://www.dropbox.com/scl/fi/8a6pnoo3rnxews2orndt1/41524.pdf?rlkey=8lcmp32yeqfzmx85u77m13ceo&amp;dl=0" TargetMode="External"/><Relationship Id="rId70" Type="http://schemas.openxmlformats.org/officeDocument/2006/relationships/hyperlink" Target="https://www.dropbox.com/scl/fi/y5xholtla9c6aq2q02sd6/41327.pdf?rlkey=v9hk0drv5h5w7shsg87i2lqfr&amp;dl=0" TargetMode="External"/><Relationship Id="rId166" Type="http://schemas.openxmlformats.org/officeDocument/2006/relationships/hyperlink" Target="https://www.dropbox.com/scl/fi/u5bu2ln5ci8ia8zd25gpx/41199.pdf?rlkey=4ivr6y8zdu5vbedigpsx5wmof&amp;dl=0" TargetMode="External"/><Relationship Id="rId373" Type="http://schemas.openxmlformats.org/officeDocument/2006/relationships/hyperlink" Target="https://www.dropbox.com/scl/fi/vubj8fhtndwznx9rtlkh1/39814.pdf?rlkey=cbkelwaoqgh6rw38j326nxqk7&amp;dl=0" TargetMode="External"/><Relationship Id="rId580" Type="http://schemas.openxmlformats.org/officeDocument/2006/relationships/hyperlink" Target="https://www.dropbox.com/scl/fi/cidcayxs2pw1xcb9i1c6i/40243.pdf?rlkey=4xpnwxlkqtcvfu8qb3n6gx2yt&amp;dl=0" TargetMode="External"/><Relationship Id="rId801" Type="http://schemas.openxmlformats.org/officeDocument/2006/relationships/hyperlink" Target="https://www.dropbox.com/scl/fi/utj77ae5sdtisv6o6eoqe/40758.pdf?rlkey=9jy0d4w4rovbucl706unqylpi&amp;dl=0" TargetMode="External"/><Relationship Id="rId1" Type="http://schemas.openxmlformats.org/officeDocument/2006/relationships/hyperlink" Target="https://www.dropbox.com/scl/fi/62k819i37ym2xauyzw4rz/41322.pdf?rlkey=75j5fs0b8x2hyrw5a42pvdxd5&amp;dl=0" TargetMode="External"/><Relationship Id="rId233" Type="http://schemas.openxmlformats.org/officeDocument/2006/relationships/hyperlink" Target="https://www.dropbox.com/scl/fi/rwu8rsrodl7rdjki8syk1/39446.pdf?rlkey=8173c2usc2zz5mjb9x50y41bq&amp;dl=0" TargetMode="External"/><Relationship Id="rId440" Type="http://schemas.openxmlformats.org/officeDocument/2006/relationships/hyperlink" Target="https://www.dropbox.com/scl/fi/d078yu7fu37ketru0d7ac/39988.pdf?rlkey=7nbl5zqco9wex429j9868ndpd&amp;dl=0" TargetMode="External"/><Relationship Id="rId678" Type="http://schemas.openxmlformats.org/officeDocument/2006/relationships/hyperlink" Target="https://www.dropbox.com/scl/fi/ax25qwkvnmr3r2h6qp5oi/40428.pdf?rlkey=qx3mrga6gkxfgam6yt6agndx0&amp;dl=0" TargetMode="External"/><Relationship Id="rId885" Type="http://schemas.openxmlformats.org/officeDocument/2006/relationships/hyperlink" Target="https://www.dropbox.com/scl/fi/jf8iol89mqkopgz40brxt/41436.pdf?rlkey=dbg93ycmk0me2mokmgqcupak4&amp;dl=0" TargetMode="External"/><Relationship Id="rId28" Type="http://schemas.openxmlformats.org/officeDocument/2006/relationships/hyperlink" Target="https://www.dropbox.com/scl/fi/hxj0k1o6muvdn5usgej8x/41070.pdf?rlkey=9k7fspsqo5xltzddp1hmtsnx8&amp;dl=0" TargetMode="External"/><Relationship Id="rId300" Type="http://schemas.openxmlformats.org/officeDocument/2006/relationships/hyperlink" Target="https://www.dropbox.com/scl/fi/7tfnjg9bjxo9ank5hgx1j/39632.pdf?rlkey=rry76dysqq2yhuvavnqj462ns&amp;dl=0" TargetMode="External"/><Relationship Id="rId538" Type="http://schemas.openxmlformats.org/officeDocument/2006/relationships/hyperlink" Target="https://www.dropbox.com/scl/fi/u0yml5gixmewc7c3489n1/40191.pdf?rlkey=2ed0cublm5khlg2scoiuciv5g&amp;dl=0" TargetMode="External"/><Relationship Id="rId745" Type="http://schemas.openxmlformats.org/officeDocument/2006/relationships/hyperlink" Target="https://www.dropbox.com/scl/fi/3vmwvua0f0img3ccws15j/40534.pdf?rlkey=jnjtw3unyg7gbx9eig8g098nj&amp;dl=0" TargetMode="External"/><Relationship Id="rId952" Type="http://schemas.openxmlformats.org/officeDocument/2006/relationships/hyperlink" Target="https://www.dropbox.com/scl/fi/p1uy87viehq5f9pu6ihme/41563.pdf?rlkey=brnb8p4y0q3jj086sivh1tfjh&amp;dl=0" TargetMode="External"/><Relationship Id="rId81" Type="http://schemas.openxmlformats.org/officeDocument/2006/relationships/hyperlink" Target="https://www.dropbox.com/scl/fi/rs4je97pbf3irjmphb211/41256.pdf?rlkey=zcumh6xbflyngxs69bw90voio&amp;dl=0" TargetMode="External"/><Relationship Id="rId177" Type="http://schemas.openxmlformats.org/officeDocument/2006/relationships/hyperlink" Target="https://www.dropbox.com/scl/fi/9yva42iud08j7494jrov0/41266.pdf?rlkey=wbez2ghxpygtl3tq7t325y2yn&amp;dl=0" TargetMode="External"/><Relationship Id="rId384" Type="http://schemas.openxmlformats.org/officeDocument/2006/relationships/hyperlink" Target="https://www.dropbox.com/scl/fi/7kwyv77v7h7pyxdagqata/39852.pdf?rlkey=e9ct3m20vdyvns6qbebxmozyj&amp;dl=0" TargetMode="External"/><Relationship Id="rId591" Type="http://schemas.openxmlformats.org/officeDocument/2006/relationships/hyperlink" Target="https://www.dropbox.com/scl/fi/plv3eb27j0j9jukc0gkq1/40281.pdf?rlkey=5wcctdpgc2awo5mgx7rhhtvjb&amp;dl=0" TargetMode="External"/><Relationship Id="rId605" Type="http://schemas.openxmlformats.org/officeDocument/2006/relationships/hyperlink" Target="https://www.dropbox.com/scl/fi/5d2wabw1gle3axl36c8ua/40302.pdf?rlkey=dx862butw18ql0bk5pdord6af&amp;dl=0" TargetMode="External"/><Relationship Id="rId812" Type="http://schemas.openxmlformats.org/officeDocument/2006/relationships/hyperlink" Target="https://www.dropbox.com/scl/fi/0mhj85v48lzyugm9moh9w/40790.pdf?rlkey=6oyovdftcqfbuwy80lx576sdk&amp;dl=0" TargetMode="External"/><Relationship Id="rId244" Type="http://schemas.openxmlformats.org/officeDocument/2006/relationships/hyperlink" Target="https://www.dropbox.com/scl/fi/icdkyabuij8tt46ebm68c/39476.pdf?rlkey=i2ldnfy0iy4n8pip4wui4o6cn&amp;dl=0" TargetMode="External"/><Relationship Id="rId689" Type="http://schemas.openxmlformats.org/officeDocument/2006/relationships/hyperlink" Target="https://www.dropbox.com/scl/fi/lcnsxcrxfxn90cgfqviyr/40447.pdf?rlkey=4p4ubw08fmtu6spxzjp5i2kgt&amp;dl=0" TargetMode="External"/><Relationship Id="rId896" Type="http://schemas.openxmlformats.org/officeDocument/2006/relationships/hyperlink" Target="https://www.dropbox.com/scl/fi/dqfsln7f5xk3hytuxeygn/41459.pdf?rlkey=vb18wb2ecwfcgvlxfmbpxu4ji&amp;dl=0" TargetMode="External"/><Relationship Id="rId39" Type="http://schemas.openxmlformats.org/officeDocument/2006/relationships/hyperlink" Target="https://www.dropbox.com/scl/fi/xyaepwxp3eaf09c33enap/41103.pdf?rlkey=gdn09rgkbisj86zwuy7v2k0ee&amp;dl=0" TargetMode="External"/><Relationship Id="rId451" Type="http://schemas.openxmlformats.org/officeDocument/2006/relationships/hyperlink" Target="https://www.dropbox.com/scl/fi/js0454jppjmfscf4lonni/40004.pdf?rlkey=udrdufl0udw1z2ldw9l0v9gik&amp;dl=0" TargetMode="External"/><Relationship Id="rId549" Type="http://schemas.openxmlformats.org/officeDocument/2006/relationships/hyperlink" Target="https://www.dropbox.com/scl/fi/zzt1kgm333a631e2pby2o/40207.pdf?rlkey=prmspemegybd0barckxqyst81&amp;dl=0" TargetMode="External"/><Relationship Id="rId756" Type="http://schemas.openxmlformats.org/officeDocument/2006/relationships/hyperlink" Target="https://www.dropbox.com/scl/fi/1ycmyx81dqb7e0881m5zf/40549.pdf?rlkey=v7jdthew3coy2d174ih40rtu0&amp;dl=0" TargetMode="External"/><Relationship Id="rId104" Type="http://schemas.openxmlformats.org/officeDocument/2006/relationships/hyperlink" Target="https://www.dropbox.com/scl/fi/8s3lzr9j1yc0gw1k32gi9/40915.pdf?rlkey=h5w6hsrjb5m7lv99x6d5uails&amp;dl=0" TargetMode="External"/><Relationship Id="rId188" Type="http://schemas.openxmlformats.org/officeDocument/2006/relationships/hyperlink" Target="https://www.dropbox.com/scl/fi/gp5kxpfhh7x5gd7achg9k/41341.pdf?rlkey=du0c105al8o9wjjzp0if5lbnj&amp;dl=0" TargetMode="External"/><Relationship Id="rId311" Type="http://schemas.openxmlformats.org/officeDocument/2006/relationships/hyperlink" Target="https://www.dropbox.com/scl/fi/19hmshpv8tw8p4zfb3ne6/39662.pdf?rlkey=t13fdpmc5np3ufiyr8a1lhfn8&amp;dl=0" TargetMode="External"/><Relationship Id="rId395" Type="http://schemas.openxmlformats.org/officeDocument/2006/relationships/hyperlink" Target="https://www.dropbox.com/scl/fi/hv7zeyxrit83vj8eu10xo/39871.pdf?rlkey=ixyj8adp982k1dl2y7n4bi9oj&amp;dl=0" TargetMode="External"/><Relationship Id="rId409" Type="http://schemas.openxmlformats.org/officeDocument/2006/relationships/hyperlink" Target="https://www.dropbox.com/scl/fi/xwqqyjw0mxi067jr5nfnr/39908.pdf?rlkey=dfpb41qylru5qs1lb3fgfqujb&amp;dl=0" TargetMode="External"/><Relationship Id="rId963" Type="http://schemas.openxmlformats.org/officeDocument/2006/relationships/hyperlink" Target="https://www.dropbox.com/scl/fi/eux10jm3bamzau3oyjja3/41585.pdf?rlkey=6enktm3u7gl7zb430kpbry601&amp;dl=0" TargetMode="External"/><Relationship Id="rId92" Type="http://schemas.openxmlformats.org/officeDocument/2006/relationships/hyperlink" Target="https://www.dropbox.com/scl/fi/nze9rdtjt5pp8ps4wbk68/41042.pdf?rlkey=onepl955bx4ff4ictv6u8ojni&amp;dl=0" TargetMode="External"/><Relationship Id="rId616" Type="http://schemas.openxmlformats.org/officeDocument/2006/relationships/hyperlink" Target="https://www.dropbox.com/scl/fi/586r9q0w2u63hbx8d1iw4/40317.pdf?rlkey=3kzr2cq1e2kboxsgf035l88bl&amp;dl=0" TargetMode="External"/><Relationship Id="rId823" Type="http://schemas.openxmlformats.org/officeDocument/2006/relationships/hyperlink" Target="https://www.dropbox.com/scl/fi/eeywbhxc47fknh10485tn/40857.pdf?rlkey=dnrxm9afg1hsuf6qo3ho37mn1&amp;dl=0" TargetMode="External"/><Relationship Id="rId255" Type="http://schemas.openxmlformats.org/officeDocument/2006/relationships/hyperlink" Target="https://www.dropbox.com/scl/fi/9y1g8jwvjy5ed3pazauc4/39522.pdf?rlkey=pq9v9d92jvljqnmhbkkdepdy5&amp;dl=0" TargetMode="External"/><Relationship Id="rId462" Type="http://schemas.openxmlformats.org/officeDocument/2006/relationships/hyperlink" Target="https://www.dropbox.com/scl/fi/7nmu7gav65ujeux8z838w/40034.pdf?rlkey=nu87c2a7z5404d5xptqh83dmj&amp;dl=0" TargetMode="External"/><Relationship Id="rId115" Type="http://schemas.openxmlformats.org/officeDocument/2006/relationships/hyperlink" Target="https://www.dropbox.com/scl/fi/byyhc5gmsiqt4xjebmeg2/41006.pdf?rlkey=mlpyer3scy3gaxeeelxd6n58w&amp;dl=0" TargetMode="External"/><Relationship Id="rId322" Type="http://schemas.openxmlformats.org/officeDocument/2006/relationships/hyperlink" Target="https://www.dropbox.com/scl/fi/qob2g6dwhphlhsfealmb6/39714.pdf?rlkey=hzzyzu1b772djmeyh0n7abf1c&amp;dl=0" TargetMode="External"/><Relationship Id="rId767" Type="http://schemas.openxmlformats.org/officeDocument/2006/relationships/hyperlink" Target="https://www.dropbox.com/scl/fi/3c7ip6fmnejvj222ixidg/40711.pdf?rlkey=em667sibdy48t0ni0hqhejf2k&amp;dl=0" TargetMode="External"/><Relationship Id="rId974" Type="http://schemas.openxmlformats.org/officeDocument/2006/relationships/hyperlink" Target="https://www.dropbox.com/scl/fi/5jpmgoiybwhfag72lymps/41626.pdf?rlkey=n6odtxuoj0fs0qsc7vns7yxyh&amp;dl=0" TargetMode="External"/><Relationship Id="rId199" Type="http://schemas.openxmlformats.org/officeDocument/2006/relationships/hyperlink" Target="https://www.dropbox.com/scl/fi/hwararceqonenfv54ebm2/41358.pdf?rlkey=dsk44ev22o64tj83s9msncomc&amp;dl=0" TargetMode="External"/><Relationship Id="rId627" Type="http://schemas.openxmlformats.org/officeDocument/2006/relationships/hyperlink" Target="https://www.dropbox.com/scl/fi/eswjqhnb8fz4kak4ikbw3/40333.pdf?rlkey=3x8tcf7tqz88tnj8g9bxjoa8t&amp;dl=0" TargetMode="External"/><Relationship Id="rId834" Type="http://schemas.openxmlformats.org/officeDocument/2006/relationships/hyperlink" Target="https://www.dropbox.com/scl/fi/4tzpfwdv0ev8ngo87y0pb/40898.pdf?rlkey=yvqcgnow1umcvj7mmvcxk5e21&amp;dl=0" TargetMode="External"/><Relationship Id="rId266" Type="http://schemas.openxmlformats.org/officeDocument/2006/relationships/hyperlink" Target="https://www.dropbox.com/scl/fi/c9648lu17qoohmfqlqprl/39539.pdf?rlkey=u7uo3am0vlwnghb9j2bc93083&amp;dl=0" TargetMode="External"/><Relationship Id="rId473" Type="http://schemas.openxmlformats.org/officeDocument/2006/relationships/hyperlink" Target="https://www.dropbox.com/scl/fi/9qmxh4c9zm45tispxc2jx/40050.pdf?rlkey=t5j3owekmladgerwbybw3b1v0&amp;dl=0" TargetMode="External"/><Relationship Id="rId680" Type="http://schemas.openxmlformats.org/officeDocument/2006/relationships/hyperlink" Target="https://www.dropbox.com/scl/fi/83jhvfs1wehobpqxupyh8/40436.pdf?rlkey=3f8yb8v8v6id38jeg1p9w8yqa&amp;dl=0" TargetMode="External"/><Relationship Id="rId901" Type="http://schemas.openxmlformats.org/officeDocument/2006/relationships/hyperlink" Target="https://www.dropbox.com/scl/fi/9sz9yp6l07br16wvv4mcn/41464.pdf?rlkey=mwr9aq0msejpkpnqtwtq2quxc&amp;dl=0" TargetMode="External"/><Relationship Id="rId30" Type="http://schemas.openxmlformats.org/officeDocument/2006/relationships/hyperlink" Target="https://www.dropbox.com/scl/fi/3gj1w5skpwh89ssl9l2ty/41313.pdf?rlkey=r5tfpi8kfbsxi6bwod3vgsvkg&amp;dl=0" TargetMode="External"/><Relationship Id="rId126" Type="http://schemas.openxmlformats.org/officeDocument/2006/relationships/hyperlink" Target="https://www.dropbox.com/scl/fi/jovo7pm3n6nre3j14r3ut/41057.pdf?rlkey=vok6n5q6l6ytnjc2woi3pei6m&amp;dl=0" TargetMode="External"/><Relationship Id="rId333" Type="http://schemas.openxmlformats.org/officeDocument/2006/relationships/hyperlink" Target="https://www.dropbox.com/scl/fi/a9a2d9gp9zca0l61qj17y/39733.pdf?rlkey=izjwkb4hbjuf26jq1ec1me9r6&amp;dl=0" TargetMode="External"/><Relationship Id="rId540" Type="http://schemas.openxmlformats.org/officeDocument/2006/relationships/hyperlink" Target="https://www.dropbox.com/scl/fi/qxiukvluureyzn1c85o8i/40193.pdf?rlkey=zuscz0j94cjm3xnw2c8oczmva&amp;dl=0" TargetMode="External"/><Relationship Id="rId778" Type="http://schemas.openxmlformats.org/officeDocument/2006/relationships/hyperlink" Target="https://www.dropbox.com/scl/fi/wxfa4x7orhe0rmwgwkunm/40728.pdf?rlkey=jwv6fziuxs1netriemd7mqbb3&amp;dl=0" TargetMode="External"/><Relationship Id="rId985" Type="http://schemas.openxmlformats.org/officeDocument/2006/relationships/hyperlink" Target="https://www.dropbox.com/scl/fi/wfxqwmxlj3cqwzy5gb4dy/41650.pdf?rlkey=uc367ldukrm1zynwke51c85vq&amp;dl=0" TargetMode="External"/><Relationship Id="rId638" Type="http://schemas.openxmlformats.org/officeDocument/2006/relationships/hyperlink" Target="https://www.dropbox.com/scl/fi/6c0q8jvnxtk0bw60w0wtr/40348.pdf?rlkey=6llejs9yt8q13qdys3ke4t4mw&amp;dl=0" TargetMode="External"/><Relationship Id="rId845" Type="http://schemas.openxmlformats.org/officeDocument/2006/relationships/hyperlink" Target="https://www.dropbox.com/scl/fi/68526v9d50365tal0enxg/40957.pdf?rlkey=0uytgsqz4egau10xdxcupxp5r&amp;dl=0" TargetMode="External"/><Relationship Id="rId277" Type="http://schemas.openxmlformats.org/officeDocument/2006/relationships/hyperlink" Target="https://www.dropbox.com/scl/fi/emfvjqvwain4bhmtrsn58/39592.pdf?rlkey=mlrm2ljap71tgkiyf46u4z2u0&amp;dl=0" TargetMode="External"/><Relationship Id="rId400" Type="http://schemas.openxmlformats.org/officeDocument/2006/relationships/hyperlink" Target="https://www.dropbox.com/scl/fi/2u1ggmn9j5mjx45nal22t/39888.pdf?rlkey=2mqqrpkl7gxyntw6jixeovzp2&amp;dl=0" TargetMode="External"/><Relationship Id="rId484" Type="http://schemas.openxmlformats.org/officeDocument/2006/relationships/hyperlink" Target="https://www.dropbox.com/scl/fi/aa0bcu4hu4bthj0txwyiu/40064.pdf?rlkey=8wxtrwjdgdnn6hfg8nh6zxuy5&amp;dl=0" TargetMode="External"/><Relationship Id="rId705" Type="http://schemas.openxmlformats.org/officeDocument/2006/relationships/hyperlink" Target="https://www.dropbox.com/scl/fi/0agp0aoq5881v170war0i/40473.pdf?rlkey=7lp20e7dpru1nxr6i3hcxv1ys&amp;dl=0" TargetMode="External"/><Relationship Id="rId137" Type="http://schemas.openxmlformats.org/officeDocument/2006/relationships/hyperlink" Target="https://www.dropbox.com/scl/fi/vo5knlflele6er8qvws3i/41097.pdf?rlkey=ryawqoi8htbsrvih6ly0eb9dh&amp;dl=0" TargetMode="External"/><Relationship Id="rId344" Type="http://schemas.openxmlformats.org/officeDocument/2006/relationships/hyperlink" Target="https://www.dropbox.com/scl/fi/eppu9yxjjagjr47hds3oq/39747.pdf?rlkey=1eltnnae2vroglvel8482iszd&amp;dl=0" TargetMode="External"/><Relationship Id="rId691" Type="http://schemas.openxmlformats.org/officeDocument/2006/relationships/hyperlink" Target="https://www.dropbox.com/scl/fi/9cwew8msu33rhw6n23b0a/40452.pdf?rlkey=sjwtxew4r8ogmfu3xkqxoycab&amp;dl=0" TargetMode="External"/><Relationship Id="rId789" Type="http://schemas.openxmlformats.org/officeDocument/2006/relationships/hyperlink" Target="https://www.dropbox.com/scl/fi/p9ldvhqj1qgifpjfsbnh3/40743.pdf?rlkey=2t397b4vxbhnmhqjczsk8pl66&amp;dl=0" TargetMode="External"/><Relationship Id="rId912" Type="http://schemas.openxmlformats.org/officeDocument/2006/relationships/hyperlink" Target="https://www.dropbox.com/scl/fi/c17r6ihfou88ls63rb3ez/41481.pdf?rlkey=dvy9esk4uvm3ot03aeg0qe42j&amp;dl=0" TargetMode="External"/><Relationship Id="rId996" Type="http://schemas.openxmlformats.org/officeDocument/2006/relationships/hyperlink" Target="https://www.dropbox.com/scl/fi/gjzjcy7vnms5wz790dyhu/41668.pdf?rlkey=c2bw8jrn67bufvyqsh0ktrof2&amp;dl=0" TargetMode="External"/><Relationship Id="rId41" Type="http://schemas.openxmlformats.org/officeDocument/2006/relationships/hyperlink" Target="https://www.dropbox.com/scl/fi/hhvhog9wh2hgeberg2sns/41101.pdf?rlkey=phhba1wn9ll3wpi90jjolwmxy&amp;dl=0" TargetMode="External"/><Relationship Id="rId551" Type="http://schemas.openxmlformats.org/officeDocument/2006/relationships/hyperlink" Target="https://www.dropbox.com/scl/fi/w29tsgz3at4bc7cxzmkin/40211.pdf?rlkey=h9mzp4k3e0xpaduip0kf4xj0r&amp;dl=0" TargetMode="External"/><Relationship Id="rId649" Type="http://schemas.openxmlformats.org/officeDocument/2006/relationships/hyperlink" Target="https://www.dropbox.com/scl/fi/h3p72faplsi7tunvz42sh/40372.pdf?rlkey=wkme4pa6x9mmvsxgy56dt7y9j&amp;dl=0" TargetMode="External"/><Relationship Id="rId856" Type="http://schemas.openxmlformats.org/officeDocument/2006/relationships/hyperlink" Target="https://www.dropbox.com/scl/fi/ay5teofcklqngdtx8jl42/41395.pdf?rlkey=au1q9wr0canrc5wwvktqvuh30&amp;dl=0" TargetMode="External"/><Relationship Id="rId190" Type="http://schemas.openxmlformats.org/officeDocument/2006/relationships/hyperlink" Target="https://www.dropbox.com/scl/fi/w4aqd5zh79f6y4q6qfejq/41349.pdf?rlkey=x5e4u3nvny48y6kvr7m4e9dl0&amp;dl=0" TargetMode="External"/><Relationship Id="rId204" Type="http://schemas.openxmlformats.org/officeDocument/2006/relationships/hyperlink" Target="https://www.dropbox.com/scl/fi/igh6b88j3ohhngyhgql4d/41370.pdf?rlkey=mtgb9m262authpuj7vuw35dhr&amp;dl=0" TargetMode="External"/><Relationship Id="rId246" Type="http://schemas.openxmlformats.org/officeDocument/2006/relationships/hyperlink" Target="https://www.dropbox.com/scl/fi/d5kqe64uoffd17zyk9yy1/39482.pdf?rlkey=18pyzustm4bif5x5wldz6zznp&amp;dl=0" TargetMode="External"/><Relationship Id="rId288" Type="http://schemas.openxmlformats.org/officeDocument/2006/relationships/hyperlink" Target="https://www.dropbox.com/scl/fi/aj6vzcbx5cls0rgegjth9/39614.pdf?rlkey=ube7m9skr63ehpr51o2300wl4&amp;dl=0" TargetMode="External"/><Relationship Id="rId411" Type="http://schemas.openxmlformats.org/officeDocument/2006/relationships/hyperlink" Target="https://www.dropbox.com/scl/fi/l5uosqh5g9sr45ox5iv6s/39921.pdf?rlkey=saf0bzp3xo7wiop347rcd1xwi&amp;dl=0" TargetMode="External"/><Relationship Id="rId453" Type="http://schemas.openxmlformats.org/officeDocument/2006/relationships/hyperlink" Target="https://www.dropbox.com/scl/fi/htnssa94bhr25f2vi4gw1/40008.pdf?rlkey=eoepmks2vwvdafolq43jhlk7v&amp;dl=0" TargetMode="External"/><Relationship Id="rId509" Type="http://schemas.openxmlformats.org/officeDocument/2006/relationships/hyperlink" Target="https://www.dropbox.com/scl/fi/k3d8tg4arnxgpsrndw953/40129.pdf?rlkey=tifz4ogkaelq8horxian2rvuu&amp;dl=0" TargetMode="External"/><Relationship Id="rId660" Type="http://schemas.openxmlformats.org/officeDocument/2006/relationships/hyperlink" Target="https://www.dropbox.com/scl/fi/kgmto4cvl1t6d71hfzbrm/40395.pdf?rlkey=3qzzj5jkh4w63ehwzjsliilb2&amp;dl=0" TargetMode="External"/><Relationship Id="rId898" Type="http://schemas.openxmlformats.org/officeDocument/2006/relationships/hyperlink" Target="https://www.dropbox.com/scl/fi/14kl3u1xip9nhoks0ngte/41461.pdf?rlkey=t3qyloddi2ak4w36udwox7fgh&amp;dl=0" TargetMode="External"/><Relationship Id="rId106" Type="http://schemas.openxmlformats.org/officeDocument/2006/relationships/hyperlink" Target="https://www.dropbox.com/scl/fi/3vsx7ecal0sreqwxhnall/40965.pdf?rlkey=lzfpccpvs63j5jnfhjk6pvyo3&amp;dl=0" TargetMode="External"/><Relationship Id="rId313" Type="http://schemas.openxmlformats.org/officeDocument/2006/relationships/hyperlink" Target="https://www.dropbox.com/scl/fi/zaehxe0oklrew2286y19t/39669.pdf?rlkey=4p2zrkyu5z7ndge50cjjjnw8i&amp;dl=0" TargetMode="External"/><Relationship Id="rId495" Type="http://schemas.openxmlformats.org/officeDocument/2006/relationships/hyperlink" Target="https://www.dropbox.com/scl/fi/50oj0q4qr0oa3utfnbxru/40101.pdf?rlkey=psbmefix1g8cym85dusyl8k96&amp;dl=0" TargetMode="External"/><Relationship Id="rId716" Type="http://schemas.openxmlformats.org/officeDocument/2006/relationships/hyperlink" Target="https://www.dropbox.com/scl/fi/ybhf028jipke1ukdnki4n/40492.pdf?rlkey=gryvqi691xg4etp4rnjnc71an&amp;dl=0" TargetMode="External"/><Relationship Id="rId758" Type="http://schemas.openxmlformats.org/officeDocument/2006/relationships/hyperlink" Target="https://www.dropbox.com/scl/fi/mvaigh3awagdnjp7wx3ra/40698.pdf?rlkey=7m9juxkbo5txleddtfcctwzpo&amp;dl=0" TargetMode="External"/><Relationship Id="rId923" Type="http://schemas.openxmlformats.org/officeDocument/2006/relationships/hyperlink" Target="https://www.dropbox.com/scl/fi/rmv8g8urqcqaqcnbggl6r/41494.pdf?rlkey=rtwuvhz3gmmh6cu8m8twoypai&amp;dl=0" TargetMode="External"/><Relationship Id="rId965" Type="http://schemas.openxmlformats.org/officeDocument/2006/relationships/hyperlink" Target="https://www.dropbox.com/scl/fi/wofka2upwcqrsjosjybks/41587.pdf?rlkey=pm2ytz70z1yjly9jvj5f8xkpm&amp;dl=0" TargetMode="External"/><Relationship Id="rId10" Type="http://schemas.openxmlformats.org/officeDocument/2006/relationships/hyperlink" Target="https://www.dropbox.com/scl/fi/vmp1m5k7wt3rv6ihg90p4/41031.pdf?rlkey=ktyf80ksha3wjmq4fitm2puuy&amp;dl=0" TargetMode="External"/><Relationship Id="rId52" Type="http://schemas.openxmlformats.org/officeDocument/2006/relationships/hyperlink" Target="https://www.dropbox.com/scl/fi/fbhy8r8z3f2ypfa2c6cz3/41019.pdf?rlkey=0e6trwcy37xyz6f1vbphs9m2j&amp;dl=0" TargetMode="External"/><Relationship Id="rId94" Type="http://schemas.openxmlformats.org/officeDocument/2006/relationships/hyperlink" Target="https://www.dropbox.com/scl/fi/kpkxesq891xep6b5kvwri/40969.pdf?rlkey=egvgcrtemt8c34vm8qnutbt37&amp;dl=0" TargetMode="External"/><Relationship Id="rId148" Type="http://schemas.openxmlformats.org/officeDocument/2006/relationships/hyperlink" Target="https://www.dropbox.com/scl/fi/ihr5732y7ev3cc4amlfex/41137.pdf?rlkey=gcm1qtg8ep2gbu288p7ux8vj5&amp;dl=0" TargetMode="External"/><Relationship Id="rId355" Type="http://schemas.openxmlformats.org/officeDocument/2006/relationships/hyperlink" Target="https://www.dropbox.com/scl/fi/aypexwozqm4f6degf58k5/39770.pdf?rlkey=j7hhdxtkzk0nwgikavn0jti0q&amp;dl=0" TargetMode="External"/><Relationship Id="rId397" Type="http://schemas.openxmlformats.org/officeDocument/2006/relationships/hyperlink" Target="https://www.dropbox.com/scl/fi/12enzsb6moaemertd0dr2/39878.pdf?rlkey=napjb77yiutui79f910lfmd1q&amp;dl=0" TargetMode="External"/><Relationship Id="rId520" Type="http://schemas.openxmlformats.org/officeDocument/2006/relationships/hyperlink" Target="https://www.dropbox.com/scl/fi/dc1q57ux1gcesn61ju601/40164.pdf?rlkey=k5omwecyozzxylezbawo3tu7n&amp;dl=0" TargetMode="External"/><Relationship Id="rId562" Type="http://schemas.openxmlformats.org/officeDocument/2006/relationships/hyperlink" Target="https://www.dropbox.com/scl/fi/tw7oaibfid3gtkqt279je/40222.pdf?rlkey=l3wisnzs4hplp0d8c5byyxqld&amp;dl=0" TargetMode="External"/><Relationship Id="rId618" Type="http://schemas.openxmlformats.org/officeDocument/2006/relationships/hyperlink" Target="https://www.dropbox.com/scl/fi/vqvtlgtusm60bss5dv8jp/40319.pdf?rlkey=4szsrxx34mslzmoumv4rg235g&amp;dl=0" TargetMode="External"/><Relationship Id="rId825" Type="http://schemas.openxmlformats.org/officeDocument/2006/relationships/hyperlink" Target="https://www.dropbox.com/scl/fi/g9ig857scdvmqeevvexge/40862.pdf?rlkey=94babq54d6upoosdh942qsktp&amp;dl=0" TargetMode="External"/><Relationship Id="rId215" Type="http://schemas.openxmlformats.org/officeDocument/2006/relationships/hyperlink" Target="https://www.dropbox.com/scl/fi/0qwdrbj0i1diyn3o6ci4p/41388.pdf?rlkey=kzfazwubddej32iddohfhlu75&amp;dl=0" TargetMode="External"/><Relationship Id="rId257" Type="http://schemas.openxmlformats.org/officeDocument/2006/relationships/hyperlink" Target="https://www.dropbox.com/scl/fi/cojb3fbybz34m0byc4mdf/39526.pdf?rlkey=a6cp96ds8x5e7lpf1kwlfno42&amp;dl=0" TargetMode="External"/><Relationship Id="rId422" Type="http://schemas.openxmlformats.org/officeDocument/2006/relationships/hyperlink" Target="https://www.dropbox.com/scl/fi/ucvn4mrhobehj7x2u0iqv/39946.pdf?rlkey=2rts6rwwvxv5bpx8ywhko3dc8&amp;dl=0" TargetMode="External"/><Relationship Id="rId464" Type="http://schemas.openxmlformats.org/officeDocument/2006/relationships/hyperlink" Target="https://www.dropbox.com/scl/fi/op9eyrzknby8fnpjjtkmh/40037.pdf?rlkey=l74o4o73pkuwsu85hwhuzpqjt&amp;dl=0" TargetMode="External"/><Relationship Id="rId867" Type="http://schemas.openxmlformats.org/officeDocument/2006/relationships/hyperlink" Target="https://www.dropbox.com/scl/fi/7vflwpa5ivri2prfuqneu/41408.pdf?rlkey=zm9ercj5q913kz8xwcp7yif7x&amp;dl=0" TargetMode="External"/><Relationship Id="rId299" Type="http://schemas.openxmlformats.org/officeDocument/2006/relationships/hyperlink" Target="https://www.dropbox.com/scl/fi/bccwuaxi2bbcgbg3qjhb7/39631.pdf?rlkey=hryzxglgl58t89cz1kmh13gf3&amp;dl=0" TargetMode="External"/><Relationship Id="rId727" Type="http://schemas.openxmlformats.org/officeDocument/2006/relationships/hyperlink" Target="https://www.dropbox.com/scl/fi/bt9ao6efqg5lz9pzmakps/40508.pdf?rlkey=maqbaa8qevddokyrpjuwsgfx0&amp;dl=0" TargetMode="External"/><Relationship Id="rId934" Type="http://schemas.openxmlformats.org/officeDocument/2006/relationships/hyperlink" Target="https://www.dropbox.com/scl/fi/lb4ke8ief0o0x3xu6prk9/41513.pdf?rlkey=pho8rvk6w600qbk2j2uf5valr&amp;dl=0" TargetMode="External"/><Relationship Id="rId63" Type="http://schemas.openxmlformats.org/officeDocument/2006/relationships/hyperlink" Target="https://www.dropbox.com/scl/fi/7y4i6d51hb5yqffx3te04/41084.pdf?rlkey=jbg67ergxv6skxfno57x3eid4&amp;dl=0" TargetMode="External"/><Relationship Id="rId159" Type="http://schemas.openxmlformats.org/officeDocument/2006/relationships/hyperlink" Target="https://www.dropbox.com/scl/fi/zcisp5crisasfesqtb5x0/41179.pdf?rlkey=3c0ousouu0ixd51ou2ujxqsno&amp;dl=0" TargetMode="External"/><Relationship Id="rId366" Type="http://schemas.openxmlformats.org/officeDocument/2006/relationships/hyperlink" Target="https://www.dropbox.com/scl/fi/a3op0mi8dx0jr0f99lytf/39804.pdf?rlkey=cpwhtt57z4lkmdy26egenbdn0&amp;dl=0" TargetMode="External"/><Relationship Id="rId573" Type="http://schemas.openxmlformats.org/officeDocument/2006/relationships/hyperlink" Target="https://www.dropbox.com/scl/fi/lq77ds8hsf88ucjpoo7he/40235.pdf?rlkey=p63tk5q5jpaq8gaooyp1vo4sl&amp;dl=0" TargetMode="External"/><Relationship Id="rId780" Type="http://schemas.openxmlformats.org/officeDocument/2006/relationships/hyperlink" Target="https://www.dropbox.com/scl/fi/z8s6ge8w7o5wjgwgv78ij/40734.pdf?rlkey=s2jvl20et6ik0i8jio9svq31q&amp;dl=0" TargetMode="External"/><Relationship Id="rId226" Type="http://schemas.openxmlformats.org/officeDocument/2006/relationships/hyperlink" Target="https://www.dropbox.com/scl/fi/9msfyuk5j8fyfpujtjajv/39436.pdf?rlkey=yaens1nr7rz0mvct127zmnu7i&amp;dl=0" TargetMode="External"/><Relationship Id="rId433" Type="http://schemas.openxmlformats.org/officeDocument/2006/relationships/hyperlink" Target="https://www.dropbox.com/scl/fi/lcjcavepdf303ud7sebe2/39960.pdf?rlkey=j44d21nulh4rtr0ijbm4apjnc&amp;dl=0" TargetMode="External"/><Relationship Id="rId878" Type="http://schemas.openxmlformats.org/officeDocument/2006/relationships/hyperlink" Target="https://www.dropbox.com/scl/fi/id90e8x4wrgrtljtjjhtb/41429.pdf?rlkey=qx0pxc14n3t3eucax2go3jkbb&amp;dl=0" TargetMode="External"/><Relationship Id="rId640" Type="http://schemas.openxmlformats.org/officeDocument/2006/relationships/hyperlink" Target="https://www.dropbox.com/scl/fi/gzdayemz0oyfz2n74b611/40360.pdf?rlkey=s59w6c26klj9gu57n8d6esruk&amp;dl=0" TargetMode="External"/><Relationship Id="rId738" Type="http://schemas.openxmlformats.org/officeDocument/2006/relationships/hyperlink" Target="https://www.dropbox.com/scl/fi/ny0uy54y9mkc35563yd6s/40520.pdf?rlkey=vnxvrkxv0k460wfc2l6f09hm0&amp;dl=0" TargetMode="External"/><Relationship Id="rId945" Type="http://schemas.openxmlformats.org/officeDocument/2006/relationships/hyperlink" Target="https://www.dropbox.com/scl/fi/8ky5bobdqn83dalf5b1jd/41535.pdf?rlkey=64x6tw1ck45f06zpilvquursk&amp;dl=0" TargetMode="External"/><Relationship Id="rId74" Type="http://schemas.openxmlformats.org/officeDocument/2006/relationships/hyperlink" Target="https://www.dropbox.com/scl/fi/tlkf1bbpssiaq3dgh8inn/41239.pdf?rlkey=alziinzr6tjrbahzr9r7lxoms&amp;dl=0" TargetMode="External"/><Relationship Id="rId377" Type="http://schemas.openxmlformats.org/officeDocument/2006/relationships/hyperlink" Target="https://www.dropbox.com/scl/fi/ld72naqlwh9lv6fqjklom/39832.pdf?rlkey=e4yly02p2blfibmywyah76ts3&amp;dl=0" TargetMode="External"/><Relationship Id="rId500" Type="http://schemas.openxmlformats.org/officeDocument/2006/relationships/hyperlink" Target="https://www.dropbox.com/scl/fi/t90q9aj57t8zxpfslk860/40113.pdf?rlkey=3anxmc2dc4swreatzrisz1hdg&amp;dl=0" TargetMode="External"/><Relationship Id="rId584" Type="http://schemas.openxmlformats.org/officeDocument/2006/relationships/hyperlink" Target="https://www.dropbox.com/scl/fi/wzlbuymzf89zc1meakjcb/40270.pdf?rlkey=q3m2f6yc30gtm9vzhu24yyy57&amp;dl=0" TargetMode="External"/><Relationship Id="rId805" Type="http://schemas.openxmlformats.org/officeDocument/2006/relationships/hyperlink" Target="https://www.dropbox.com/scl/fi/1895pmabfkyl0sa3g7qq4/40773.pdf?rlkey=i0a9wiiszzgsa162sdvu4m3mj&amp;dl=0" TargetMode="External"/><Relationship Id="rId5" Type="http://schemas.openxmlformats.org/officeDocument/2006/relationships/hyperlink" Target="https://www.dropbox.com/scl/fi/2df2vtrk6s4vik8udduuf/40284.pdf?rlkey=3c98wufak0qyhtr2nkm5u2yr6&amp;dl=0" TargetMode="External"/><Relationship Id="rId237" Type="http://schemas.openxmlformats.org/officeDocument/2006/relationships/hyperlink" Target="https://www.dropbox.com/scl/fi/8ib13c7og84h487o46du8/39466.pdf?rlkey=u5tbjqigs30g5c8lenm48lyn7&amp;dl=0" TargetMode="External"/><Relationship Id="rId791" Type="http://schemas.openxmlformats.org/officeDocument/2006/relationships/hyperlink" Target="https://www.dropbox.com/scl/fi/8u8zvsgdk1o8gmkrdnkdo/40745.pdf?rlkey=l1ew98eoqmj5989xauwoyi9g7&amp;dl=0" TargetMode="External"/><Relationship Id="rId889" Type="http://schemas.openxmlformats.org/officeDocument/2006/relationships/hyperlink" Target="https://www.dropbox.com/scl/fi/8o02x066fzk3fe0nc8125/41448.pdf?rlkey=tk8mrl5zhs0naikvaggr3ju5h&amp;dl=0" TargetMode="External"/><Relationship Id="rId444" Type="http://schemas.openxmlformats.org/officeDocument/2006/relationships/hyperlink" Target="https://www.dropbox.com/scl/fi/l6eqeycmsds9e3sar5aib/39993.pdf?rlkey=km932kb208huib39pcwsle4ip&amp;dl=0" TargetMode="External"/><Relationship Id="rId651" Type="http://schemas.openxmlformats.org/officeDocument/2006/relationships/hyperlink" Target="https://www.dropbox.com/scl/fi/e57h2d6zclw36iw7g81dk/40375.pdf?rlkey=cfxjkeiv3j3sd3ikbyi318vq1&amp;dl=0" TargetMode="External"/><Relationship Id="rId749" Type="http://schemas.openxmlformats.org/officeDocument/2006/relationships/hyperlink" Target="https://www.dropbox.com/scl/fi/542vrjop9s48by6kzgwn3/40542.pdf?rlkey=zsrt4ouktn6cswxfw7edpbjmc&amp;dl=0" TargetMode="External"/><Relationship Id="rId290" Type="http://schemas.openxmlformats.org/officeDocument/2006/relationships/hyperlink" Target="https://www.dropbox.com/scl/fi/xlyxysgtf2zd9ch0i4adw/39616.pdf?rlkey=777qgw19y25degnvzzplihysf&amp;dl=0" TargetMode="External"/><Relationship Id="rId304" Type="http://schemas.openxmlformats.org/officeDocument/2006/relationships/hyperlink" Target="https://www.dropbox.com/scl/fi/5rekqcfdy7tvg73y5gebd/39636.pdf?rlkey=djojzut4po19jb1lkhipjb18k&amp;dl=0" TargetMode="External"/><Relationship Id="rId388" Type="http://schemas.openxmlformats.org/officeDocument/2006/relationships/hyperlink" Target="https://www.dropbox.com/scl/fi/r9h95a8ygng20d3x7nxk8/39858.pdf?rlkey=jv4a5jffmziynw497bfsi0526&amp;dl=0" TargetMode="External"/><Relationship Id="rId511" Type="http://schemas.openxmlformats.org/officeDocument/2006/relationships/hyperlink" Target="https://www.dropbox.com/scl/fi/svbi6yiku986kmfi0pa21/40131.pdf?rlkey=8a7dej9xg2n2rags67m1i0mh6&amp;dl=0" TargetMode="External"/><Relationship Id="rId609" Type="http://schemas.openxmlformats.org/officeDocument/2006/relationships/hyperlink" Target="https://www.dropbox.com/scl/fi/62w0bnwwe7enpccq2wtvv/40307.pdf?rlkey=2dpe1vo13zacew7aoqovmgso7&amp;dl=0" TargetMode="External"/><Relationship Id="rId956" Type="http://schemas.openxmlformats.org/officeDocument/2006/relationships/hyperlink" Target="https://www.dropbox.com/scl/fi/skq4sdclitbcl8l7xrs74/41574.pdf?rlkey=40x49adl9duoknjxe903upxd4&amp;dl=0" TargetMode="External"/><Relationship Id="rId85" Type="http://schemas.openxmlformats.org/officeDocument/2006/relationships/hyperlink" Target="https://www.dropbox.com/scl/fi/6u4m68ledc95e87wds61y/41336.pdf?rlkey=gj5lihzqvgru76c970560avx6&amp;dl=0" TargetMode="External"/><Relationship Id="rId150" Type="http://schemas.openxmlformats.org/officeDocument/2006/relationships/hyperlink" Target="https://www.dropbox.com/scl/fi/fs7uxwerbb8fxlhoaiah3/41153.pdf?rlkey=0vunqrnru7y0l5je4hy88nhug&amp;dl=0" TargetMode="External"/><Relationship Id="rId595" Type="http://schemas.openxmlformats.org/officeDocument/2006/relationships/hyperlink" Target="https://www.dropbox.com/scl/fi/pwqb5mjmcjtdgmk3seqrx/40288.pdf?rlkey=1nal8e1iebdzcu5iyea8ilbbw&amp;dl=0" TargetMode="External"/><Relationship Id="rId816" Type="http://schemas.openxmlformats.org/officeDocument/2006/relationships/hyperlink" Target="https://www.dropbox.com/scl/fi/urm5xvsydyqe68mmkde6k/40797.pdf?rlkey=758glj0d9esmdfrz8xv54yemb&amp;dl=0" TargetMode="External"/><Relationship Id="rId1001" Type="http://schemas.openxmlformats.org/officeDocument/2006/relationships/hyperlink" Target="https://www.dropbox.com/scl/fi/to4flrlu6qy52dkyijmav/41693.pdf?rlkey=a2lifcec51bch8oauqzbnua73&amp;dl=0" TargetMode="External"/><Relationship Id="rId248" Type="http://schemas.openxmlformats.org/officeDocument/2006/relationships/hyperlink" Target="https://www.dropbox.com/scl/fi/8tatsm27ji9hk1outmycy/39484.pdf?rlkey=00h6p7i9qlocr9udh2w744h9u&amp;dl=0" TargetMode="External"/><Relationship Id="rId455" Type="http://schemas.openxmlformats.org/officeDocument/2006/relationships/hyperlink" Target="https://www.dropbox.com/scl/fi/9zktfvz04d67ce11kb2pl/40010.pdf?rlkey=9vpl01gb0wqsroz1gya9v70a7&amp;dl=0" TargetMode="External"/><Relationship Id="rId662" Type="http://schemas.openxmlformats.org/officeDocument/2006/relationships/hyperlink" Target="https://www.dropbox.com/scl/fi/68fa56tcl9lgfm9au1c3w/40400.pdf?rlkey=dmugiq9mjygoh86l55rpnq2re&amp;dl=0" TargetMode="External"/><Relationship Id="rId12" Type="http://schemas.openxmlformats.org/officeDocument/2006/relationships/hyperlink" Target="https://www.dropbox.com/scl/fi/gydu419vqemx9wtw08sbn/41275.pdf?rlkey=7e166rdramx4mzp9nid37g05b&amp;dl=0" TargetMode="External"/><Relationship Id="rId108" Type="http://schemas.openxmlformats.org/officeDocument/2006/relationships/hyperlink" Target="https://www.dropbox.com/scl/fi/kecd4b0a7fvlnu4c41m01/40970.pdf?rlkey=wucaj0fh3b3pzxds4ugqi5ddz&amp;dl=0" TargetMode="External"/><Relationship Id="rId315" Type="http://schemas.openxmlformats.org/officeDocument/2006/relationships/hyperlink" Target="https://www.dropbox.com/scl/fi/zsxsmlpac9imxf97fhfxk/39671.pdf?rlkey=l9b6ohvcybz4zj66huomfwxxx&amp;dl=0" TargetMode="External"/><Relationship Id="rId522" Type="http://schemas.openxmlformats.org/officeDocument/2006/relationships/hyperlink" Target="https://www.dropbox.com/scl/fi/gw3sa08o82c5bptpnr4bh/40166.pdf?rlkey=tqgt00vn6gy0t6pbizd3oz177&amp;dl=0" TargetMode="External"/><Relationship Id="rId967" Type="http://schemas.openxmlformats.org/officeDocument/2006/relationships/hyperlink" Target="https://www.dropbox.com/scl/fi/23si1cv65cl9k74oc9dvz/41594.pdf?rlkey=lokzqno0jsj4hmw0od8h4nm54&amp;dl=0" TargetMode="External"/><Relationship Id="rId96" Type="http://schemas.openxmlformats.org/officeDocument/2006/relationships/hyperlink" Target="https://www.dropbox.com/scl/fi/lygqpgnmtia435cayl1fw/40432.pdf?rlkey=cojq94831ck4f3jdfcvuexrr0&amp;dl=0" TargetMode="External"/><Relationship Id="rId161" Type="http://schemas.openxmlformats.org/officeDocument/2006/relationships/hyperlink" Target="https://www.dropbox.com/scl/fi/q8713xoygl8wfk19iizco/41186.pdf?rlkey=fmbur3sxd218asxmbl5oqiqwh&amp;dl=0" TargetMode="External"/><Relationship Id="rId399" Type="http://schemas.openxmlformats.org/officeDocument/2006/relationships/hyperlink" Target="https://www.dropbox.com/scl/fi/x0evv6h0wm3pgyj8ss3r0/39887.pdf?rlkey=o809tu9uni4l495p22c9gu3s0&amp;dl=0" TargetMode="External"/><Relationship Id="rId827" Type="http://schemas.openxmlformats.org/officeDocument/2006/relationships/hyperlink" Target="https://www.dropbox.com/scl/fi/4cfl4sa01799wrvd23l56/40869.pdf?rlkey=hnb1v7oa6u8yqzm6u1p2wisy1&amp;dl=0" TargetMode="External"/><Relationship Id="rId259" Type="http://schemas.openxmlformats.org/officeDocument/2006/relationships/hyperlink" Target="https://www.dropbox.com/scl/fi/ln3hns5ixjrle44d3569v/39528.pdf?rlkey=7j64prrhxgwh24f1oup2xz98w&amp;dl=0" TargetMode="External"/><Relationship Id="rId466" Type="http://schemas.openxmlformats.org/officeDocument/2006/relationships/hyperlink" Target="https://www.dropbox.com/scl/fi/rpdsh7cthnkh194tgbm7p/40041.pdf?rlkey=rfd5aud3q1g3ktri027iqlzg3&amp;dl=0" TargetMode="External"/><Relationship Id="rId673" Type="http://schemas.openxmlformats.org/officeDocument/2006/relationships/hyperlink" Target="https://www.dropbox.com/scl/fi/3v2bd4lgj0dmzqxsq3mba/40423.pdf?rlkey=3wf1vbyfd3a0x960svvrh26sl&amp;dl=0" TargetMode="External"/><Relationship Id="rId880" Type="http://schemas.openxmlformats.org/officeDocument/2006/relationships/hyperlink" Target="https://www.dropbox.com/scl/fi/0pna1gb8n6n723oso6si5/41431.pdf?rlkey=uvdq0rtjoz0pkrmq4vrdratch&amp;dl=0" TargetMode="External"/><Relationship Id="rId23" Type="http://schemas.openxmlformats.org/officeDocument/2006/relationships/hyperlink" Target="https://www.dropbox.com/scl/fi/45bnrax8ravyijuxzut6f/41072.pdf?rlkey=4zbja62c2u5sjmttxxuje2on5&amp;dl=0" TargetMode="External"/><Relationship Id="rId119" Type="http://schemas.openxmlformats.org/officeDocument/2006/relationships/hyperlink" Target="https://www.dropbox.com/scl/fi/qcp503bbtno3zp6k1bet2/41021.pdf?rlkey=avjspiil6s72ox58kdrwial8l&amp;dl=0" TargetMode="External"/><Relationship Id="rId326" Type="http://schemas.openxmlformats.org/officeDocument/2006/relationships/hyperlink" Target="https://www.dropbox.com/scl/fi/vka31rp83g886nobiva6z/39721.pdf?rlkey=2q7jzd75c3u6hyyax641hy077&amp;dl=0" TargetMode="External"/><Relationship Id="rId533" Type="http://schemas.openxmlformats.org/officeDocument/2006/relationships/hyperlink" Target="https://www.dropbox.com/scl/fi/ej4ve0mubawgzybnq20z2/40185.pdf?rlkey=yn03nvvyxnk3mwyrv1dczicee&amp;dl=0" TargetMode="External"/><Relationship Id="rId978" Type="http://schemas.openxmlformats.org/officeDocument/2006/relationships/hyperlink" Target="https://www.dropbox.com/scl/fi/pk1mwwlwb8gwbnzq5c9wi/41631.pdf?rlkey=ayx05041avmwgu9ju8ttefo18&amp;dl=0" TargetMode="External"/><Relationship Id="rId740" Type="http://schemas.openxmlformats.org/officeDocument/2006/relationships/hyperlink" Target="https://www.dropbox.com/scl/fi/3vkzrqel0o3oinq8nq9hp/40523.pdf?rlkey=avtnl2be6sjjxfk9x3brs2984&amp;dl=0" TargetMode="External"/><Relationship Id="rId838" Type="http://schemas.openxmlformats.org/officeDocument/2006/relationships/hyperlink" Target="https://www.dropbox.com/scl/fi/l4v1jdzjkmez5x798bahf/40927.pdf?rlkey=x8qbkg4dbi785lyy5vm4z8c3u&amp;dl=0" TargetMode="External"/><Relationship Id="rId172" Type="http://schemas.openxmlformats.org/officeDocument/2006/relationships/hyperlink" Target="https://www.dropbox.com/scl/fi/c0432ydqyye0jlf5hvztv/41231.pdf?rlkey=z2lzo756ufokisfc9ldbk7wa6&amp;dl=0" TargetMode="External"/><Relationship Id="rId477" Type="http://schemas.openxmlformats.org/officeDocument/2006/relationships/hyperlink" Target="https://www.dropbox.com/scl/fi/o28abzz3e9sn4runjvdh9/40056.pdf?rlkey=xfd6pnoe598pjusb0x8xh4cjc&amp;dl=0" TargetMode="External"/><Relationship Id="rId600" Type="http://schemas.openxmlformats.org/officeDocument/2006/relationships/hyperlink" Target="https://www.dropbox.com/scl/fi/jzp7j5i0qm4jk6bb40pzq/40294.pdf?rlkey=r81uzovuocg94o8m5ix8rtwop&amp;dl=0" TargetMode="External"/><Relationship Id="rId684" Type="http://schemas.openxmlformats.org/officeDocument/2006/relationships/hyperlink" Target="https://www.dropbox.com/scl/fi/3te2s2m3uezg148b3dt4f/40440.pdf?rlkey=k6vel2z9d4doll6auvru6h9h3&amp;dl=0" TargetMode="External"/><Relationship Id="rId337" Type="http://schemas.openxmlformats.org/officeDocument/2006/relationships/hyperlink" Target="https://www.dropbox.com/scl/fi/flw8v1mjd9q3743kgd68q/39737.pdf?rlkey=djeixwee2sbb2sidt8hrq73yi&amp;dl=0" TargetMode="External"/><Relationship Id="rId891" Type="http://schemas.openxmlformats.org/officeDocument/2006/relationships/hyperlink" Target="https://www.dropbox.com/scl/fi/4ww55wkksa8r54bd7aa4j/41450.pdf?rlkey=bdeq9d9gbdvhe4frv8vfw3w59&amp;dl=0" TargetMode="External"/><Relationship Id="rId905" Type="http://schemas.openxmlformats.org/officeDocument/2006/relationships/hyperlink" Target="https://www.dropbox.com/scl/fi/479eloytb6d5p67azhgg3/41470.pdf?rlkey=q1pfszz63b82ewyt3d5vs1ef8&amp;dl=0" TargetMode="External"/><Relationship Id="rId989" Type="http://schemas.openxmlformats.org/officeDocument/2006/relationships/hyperlink" Target="https://www.dropbox.com/scl/fi/ihjptsgxfnfyjzeokx7rb/41658.pdf?rlkey=cvrwmjwkgnqiwb3mhtu6p6wlb&amp;dl=0" TargetMode="External"/><Relationship Id="rId34" Type="http://schemas.openxmlformats.org/officeDocument/2006/relationships/hyperlink" Target="https://www.dropbox.com/scl/fi/cbzi6fx2r8yerw4xsz4s0/40981.pdf?rlkey=uw98v2cxpo1esms1bci26lcb8&amp;dl=0" TargetMode="External"/><Relationship Id="rId544" Type="http://schemas.openxmlformats.org/officeDocument/2006/relationships/hyperlink" Target="https://www.dropbox.com/scl/fi/vdeyhz0mudqyc7csscjg1/40202.pdf?rlkey=02vix5l2398nqn1hrw5f7kubu&amp;dl=0" TargetMode="External"/><Relationship Id="rId751" Type="http://schemas.openxmlformats.org/officeDocument/2006/relationships/hyperlink" Target="https://www.dropbox.com/scl/fi/if0gzyngtj2lo7d1u0mmx/40544.pdf?rlkey=vsoknkwa7uya5fl34dpx2fksx&amp;dl=0" TargetMode="External"/><Relationship Id="rId849" Type="http://schemas.openxmlformats.org/officeDocument/2006/relationships/hyperlink" Target="https://www.dropbox.com/scl/fi/1lov0sncagcbqkgyggb8g/40976.pdf?rlkey=1nwpac9p2mddd0d6tnwnb1cea&amp;dl=0" TargetMode="External"/><Relationship Id="rId183" Type="http://schemas.openxmlformats.org/officeDocument/2006/relationships/hyperlink" Target="https://www.dropbox.com/scl/fi/lj67w8dpufj6kie30on8o/41310.pdf?rlkey=4ozpugx7qfva3sxqyalmcc4uu&amp;dl=0" TargetMode="External"/><Relationship Id="rId390" Type="http://schemas.openxmlformats.org/officeDocument/2006/relationships/hyperlink" Target="https://www.dropbox.com/scl/fi/ul8771tg6mx1vvbcwm8qk/39861.pdf?rlkey=630comd6uptutq8wijek8egst&amp;dl=0" TargetMode="External"/><Relationship Id="rId404" Type="http://schemas.openxmlformats.org/officeDocument/2006/relationships/hyperlink" Target="https://www.dropbox.com/scl/fi/hzcf72326ht7k6vds8g2x/39894.pdf?rlkey=t3m6osy9pd5c8tyga4wcr7oww&amp;dl=0" TargetMode="External"/><Relationship Id="rId611" Type="http://schemas.openxmlformats.org/officeDocument/2006/relationships/hyperlink" Target="https://www.dropbox.com/scl/fi/cavtcb7cthrjx3wgpcoss/40311.pdf?rlkey=zx7kfzmtbmgdwh4etfa01vzlt&amp;dl=0" TargetMode="External"/><Relationship Id="rId250" Type="http://schemas.openxmlformats.org/officeDocument/2006/relationships/hyperlink" Target="https://www.dropbox.com/scl/fi/wu8php908iltwlvhekal3/39502.pdf?rlkey=hy8kvlff8mroj60apflaup2jd&amp;dl=0" TargetMode="External"/><Relationship Id="rId488" Type="http://schemas.openxmlformats.org/officeDocument/2006/relationships/hyperlink" Target="https://www.dropbox.com/scl/fi/olslg7i46bz6yms0ljb21/40072.pdf?rlkey=p89j7ncrqo0n1glfhn5cqeiaa&amp;dl=0" TargetMode="External"/><Relationship Id="rId695" Type="http://schemas.openxmlformats.org/officeDocument/2006/relationships/hyperlink" Target="https://www.dropbox.com/scl/fi/gbfnkc4x8xn8ta23zur12/40457.pdf?rlkey=gi2rikjp6r36mm0dbnsss0l0x&amp;dl=0" TargetMode="External"/><Relationship Id="rId709" Type="http://schemas.openxmlformats.org/officeDocument/2006/relationships/hyperlink" Target="https://www.dropbox.com/scl/fi/ecc27lcmkarz0c9wn01v8/40481.pdf?rlkey=1a74ebn1usnss0ezvutohxp3r&amp;dl=0" TargetMode="External"/><Relationship Id="rId916" Type="http://schemas.openxmlformats.org/officeDocument/2006/relationships/hyperlink" Target="https://www.dropbox.com/scl/fi/qxvuxfcm5p8hth5tuauux/41485.pdf?rlkey=qb3nsdgeh5zse0frh9tfx5ou1&amp;dl=0" TargetMode="External"/><Relationship Id="rId45" Type="http://schemas.openxmlformats.org/officeDocument/2006/relationships/hyperlink" Target="https://www.dropbox.com/scl/fi/mzx0166mudriktb035gox/41264.pdf?rlkey=uuupzvkjb0ybm80emna0vfg8c&amp;dl=0" TargetMode="External"/><Relationship Id="rId110" Type="http://schemas.openxmlformats.org/officeDocument/2006/relationships/hyperlink" Target="https://www.dropbox.com/scl/fi/coadaq1vlbhlgyuaqsmrh/40991.pdf?rlkey=qkk8grmj2jv4yd5btkkrr0y9j&amp;dl=0" TargetMode="External"/><Relationship Id="rId348" Type="http://schemas.openxmlformats.org/officeDocument/2006/relationships/hyperlink" Target="https://www.dropbox.com/scl/fi/sttj94yxvejxyjwjt3pkv/39756.pdf?rlkey=1rddcwtvtf2tzbr6eoeaaum83&amp;dl=0" TargetMode="External"/><Relationship Id="rId555" Type="http://schemas.openxmlformats.org/officeDocument/2006/relationships/hyperlink" Target="https://www.dropbox.com/scl/fi/65myipfripxw4e8vmcrfl/40215.pdf?rlkey=sp0khedz65kxkmuu9s67e8twv&amp;dl=0" TargetMode="External"/><Relationship Id="rId762" Type="http://schemas.openxmlformats.org/officeDocument/2006/relationships/hyperlink" Target="https://www.dropbox.com/scl/fi/gs9n7tgwegns9e9jireyz/40705.pdf?rlkey=uh26sl951iskwrvifo6h22vvl&amp;dl=0" TargetMode="External"/><Relationship Id="rId194" Type="http://schemas.openxmlformats.org/officeDocument/2006/relationships/hyperlink" Target="https://www.dropbox.com/scl/fi/p1qh1kukrxkoiv4hdre0p/41353.pdf?rlkey=cepzgvvf1bs6xjho7dqzd5wbh&amp;dl=0" TargetMode="External"/><Relationship Id="rId208" Type="http://schemas.openxmlformats.org/officeDocument/2006/relationships/hyperlink" Target="https://www.dropbox.com/scl/fi/iiba448kkgy6tj58o0hkg/41374.pdf?rlkey=v10b74a0u2uju0thhy263ggoz&amp;dl=0" TargetMode="External"/><Relationship Id="rId415" Type="http://schemas.openxmlformats.org/officeDocument/2006/relationships/hyperlink" Target="https://www.dropbox.com/scl/fi/h59fbuadarj4ppgavlte0/39926.pdf?rlkey=umo57fwzj3flci4w6osx41zpd&amp;dl=0" TargetMode="External"/><Relationship Id="rId622" Type="http://schemas.openxmlformats.org/officeDocument/2006/relationships/hyperlink" Target="https://www.dropbox.com/scl/fi/mqd8q6i3n9h7r2362orqg/40323.pdf?rlkey=5ll1jvcbuy5u9lx245xdsg1xu&amp;dl=0" TargetMode="External"/><Relationship Id="rId261" Type="http://schemas.openxmlformats.org/officeDocument/2006/relationships/hyperlink" Target="https://www.dropbox.com/scl/fi/b0wlc4x86900xqfmenbve/39530.pdf?rlkey=hzcfd498zfvhbqunhfzb45ba1&amp;dl=0" TargetMode="External"/><Relationship Id="rId499" Type="http://schemas.openxmlformats.org/officeDocument/2006/relationships/hyperlink" Target="https://www.dropbox.com/scl/fi/y5m9f90xs9vpomkg8vxli/40112.pdf?rlkey=hztmj5utt6odg3zrzklfgztji&amp;dl=0" TargetMode="External"/><Relationship Id="rId927" Type="http://schemas.openxmlformats.org/officeDocument/2006/relationships/hyperlink" Target="https://www.dropbox.com/scl/fi/ycezwc5g20p9rsof4xcp1/41502.pdf?rlkey=xxj0uu6wff4s9xtw64pzxc4a7&amp;dl=0" TargetMode="External"/><Relationship Id="rId56" Type="http://schemas.openxmlformats.org/officeDocument/2006/relationships/hyperlink" Target="https://www.dropbox.com/scl/fi/9ut145qd5teyn22ezgq4s/41183.pdf?rlkey=mn1zl0vjqbo81dq7f1j98ma6v&amp;dl=0" TargetMode="External"/><Relationship Id="rId359" Type="http://schemas.openxmlformats.org/officeDocument/2006/relationships/hyperlink" Target="https://www.dropbox.com/scl/fi/pnt62084c79k9w7j6y9za/39788.pdf?rlkey=q8mnkrjewph3v6mdsp9eiadsc&amp;dl=0" TargetMode="External"/><Relationship Id="rId566" Type="http://schemas.openxmlformats.org/officeDocument/2006/relationships/hyperlink" Target="https://www.dropbox.com/scl/fi/4v15ftk61v1hxyle3amud/40227.pdf?rlkey=3ey1s08fnxu9ch05bpfdqi1b2&amp;dl=0" TargetMode="External"/><Relationship Id="rId773" Type="http://schemas.openxmlformats.org/officeDocument/2006/relationships/hyperlink" Target="https://www.dropbox.com/scl/fi/1unuol00rka8qdih6vytc/40721.pdf?rlkey=p0eptj7f3jlui0nbm0bwgyzxk&amp;dl=0" TargetMode="External"/><Relationship Id="rId121" Type="http://schemas.openxmlformats.org/officeDocument/2006/relationships/hyperlink" Target="../../../../../Containers/com.microsoft.Excel/Data/Library/Application%20Support/Microsoft/41030.pdf" TargetMode="External"/><Relationship Id="rId219" Type="http://schemas.openxmlformats.org/officeDocument/2006/relationships/hyperlink" Target="https://www.dropbox.com/scl/fi/0dq0hccgtmzkcw0bvanpe/39417.pdf?rlkey=2vpy8v5i1dg5i7v4hwb8q5qsu&amp;dl=0" TargetMode="External"/><Relationship Id="rId426" Type="http://schemas.openxmlformats.org/officeDocument/2006/relationships/hyperlink" Target="https://www.dropbox.com/scl/fi/92w12ngau5tb4nr7jbdj2/39950.pdf?rlkey=2u6zfm1nauksbn3e5qvsi3yf4&amp;dl=0" TargetMode="External"/><Relationship Id="rId633" Type="http://schemas.openxmlformats.org/officeDocument/2006/relationships/hyperlink" Target="https://www.dropbox.com/scl/fi/49dbaqazhiye4b3ryw39l/40343.pdf?rlkey=v2iyp1toem6o4wdo5sh4wnnvo&amp;dl=0" TargetMode="External"/><Relationship Id="rId980" Type="http://schemas.openxmlformats.org/officeDocument/2006/relationships/hyperlink" Target="https://www.dropbox.com/scl/fi/v3s9fdy616lwwip0chrjn/41638.pdf?rlkey=o9jh9blhpzeq3z5c7m6byrd0t&amp;dl=0" TargetMode="External"/><Relationship Id="rId840" Type="http://schemas.openxmlformats.org/officeDocument/2006/relationships/hyperlink" Target="https://www.dropbox.com/scl/fi/0af9bj3b3c3ux8zehsnhe/40931.pdf?rlkey=0w29zoqnm1s0ah9llvujy2xmf&amp;dl=0" TargetMode="External"/><Relationship Id="rId938" Type="http://schemas.openxmlformats.org/officeDocument/2006/relationships/hyperlink" Target="https://www.dropbox.com/scl/fi/bpn6csexyshq7pyfs38sl/41521.pdf?rlkey=qjgtatilhe3acwdnn8e1kenfo&amp;dl=0" TargetMode="External"/><Relationship Id="rId67" Type="http://schemas.openxmlformats.org/officeDocument/2006/relationships/hyperlink" Target="https://www.dropbox.com/scl/fi/z0p3h6bkah35vsb324lqv/41258.pdf?rlkey=6h1p67gdh61xmff87s2np9x40&amp;dl=0" TargetMode="External"/><Relationship Id="rId272" Type="http://schemas.openxmlformats.org/officeDocument/2006/relationships/hyperlink" Target="https://www.dropbox.com/scl/fi/7qajsld3easdmoww35j3t/39575.pdf?rlkey=y33jw5rdd3015hs14j9w7f832&amp;dl=0" TargetMode="External"/><Relationship Id="rId577" Type="http://schemas.openxmlformats.org/officeDocument/2006/relationships/hyperlink" Target="https://www.dropbox.com/scl/fi/ve2mrpd40f5q0lggyzu8p/40239.pdf?rlkey=86b8b42alweyylrmrfg6sb06m&amp;dl=0" TargetMode="External"/><Relationship Id="rId700" Type="http://schemas.openxmlformats.org/officeDocument/2006/relationships/hyperlink" Target="https://www.dropbox.com/scl/fi/5lc39ef6sc8zcrdrfm3fk/40466.pdf?rlkey=6k6ew35rxoklrgt1tho90u1oe&amp;dl=0" TargetMode="External"/><Relationship Id="rId132" Type="http://schemas.openxmlformats.org/officeDocument/2006/relationships/hyperlink" Target="https://www.dropbox.com/scl/fi/myyrn85pxgltic0ge8v3x/41090.pdf?rlkey=4bxd9rul5jcftw3zgw4naprvp&amp;dl=0" TargetMode="External"/><Relationship Id="rId784" Type="http://schemas.openxmlformats.org/officeDocument/2006/relationships/hyperlink" Target="https://www.dropbox.com/scl/fi/6dc4xzrhkq057h032f8sz/40738.pdf?rlkey=zh36e19v75j7rzxu4yh2yjs04&amp;dl=0" TargetMode="External"/><Relationship Id="rId991" Type="http://schemas.openxmlformats.org/officeDocument/2006/relationships/hyperlink" Target="https://www.dropbox.com/scl/fi/81n1hmmapm68q6aow1xkp/41661.pdf?rlkey=ofyf76lcb0x2w8ehsz17h3b7k&amp;dl=0" TargetMode="External"/><Relationship Id="rId437" Type="http://schemas.openxmlformats.org/officeDocument/2006/relationships/hyperlink" Target="https://www.dropbox.com/scl/fi/c47n0zndhnujnk2txj4ik/39977.pdf?rlkey=zqw51n3wwslngdo1c2eb7fhsc&amp;dl=0" TargetMode="External"/><Relationship Id="rId644" Type="http://schemas.openxmlformats.org/officeDocument/2006/relationships/hyperlink" Target="https://www.dropbox.com/scl/fi/hur86ml7m497kh0zzlgq1/40366.pdf?rlkey=82dlnet15u48ch4nfb8zvz8j6&amp;dl=0" TargetMode="External"/><Relationship Id="rId851" Type="http://schemas.openxmlformats.org/officeDocument/2006/relationships/hyperlink" Target="https://www.dropbox.com/scl/fi/wyqx7dyexu6gggw1evqrs/41044.pdf?rlkey=hkqoor1eiuclyhni8joannf47&amp;dl=0" TargetMode="External"/><Relationship Id="rId283" Type="http://schemas.openxmlformats.org/officeDocument/2006/relationships/hyperlink" Target="https://www.dropbox.com/scl/fi/ovw118i1icqx9ugmm605s/39607.pdf?rlkey=f4lgyj6rln9g752286bqkau2l&amp;dl=0" TargetMode="External"/><Relationship Id="rId490" Type="http://schemas.openxmlformats.org/officeDocument/2006/relationships/hyperlink" Target="https://www.dropbox.com/scl/fi/cbmq17ru1avtts68tsgrm/40076.pdf?rlkey=8octkk158xjefj6rm8k16dfx8&amp;dl=0" TargetMode="External"/><Relationship Id="rId504" Type="http://schemas.openxmlformats.org/officeDocument/2006/relationships/hyperlink" Target="https://www.dropbox.com/scl/fi/4r92h525inls9n0dvvna4/40124.pdf?rlkey=ws7uj4fyt2ot3zx8z0hqhw3ns&amp;dl=0" TargetMode="External"/><Relationship Id="rId711" Type="http://schemas.openxmlformats.org/officeDocument/2006/relationships/hyperlink" Target="https://www.dropbox.com/scl/fi/zmyjla3tr0frvrgzicyty/40483.pdf?rlkey=tayc08egp9xvf84op3tcobhck&amp;dl=0" TargetMode="External"/><Relationship Id="rId949" Type="http://schemas.openxmlformats.org/officeDocument/2006/relationships/hyperlink" Target="https://www.dropbox.com/scl/fi/54c1cqxsq9ivq496ao1d7/41560.pdf?rlkey=ec4ekv5mjzbyjc8899ahmowl3&amp;dl=0" TargetMode="External"/><Relationship Id="rId78" Type="http://schemas.openxmlformats.org/officeDocument/2006/relationships/hyperlink" Target="https://www.dropbox.com/scl/fi/gnh9ow3jqm5g2asra8401/41254.pdf?rlkey=0fl21unp5nyuhzxcyeuee8g7j&amp;dl=0" TargetMode="External"/><Relationship Id="rId143" Type="http://schemas.openxmlformats.org/officeDocument/2006/relationships/hyperlink" Target="https://www.dropbox.com/scl/fi/jdtq6gx6oe4uu5pzaiqqe/41127.pdf?rlkey=3wlapfz9ay2z7hus1tak1rai5&amp;dl=0" TargetMode="External"/><Relationship Id="rId350" Type="http://schemas.openxmlformats.org/officeDocument/2006/relationships/hyperlink" Target="https://www.dropbox.com/scl/fi/l57brdzseyh0z3m7gdk1w/39758.pdf?rlkey=bogchkecn5glg2ldgg0ez3tok&amp;dl=0" TargetMode="External"/><Relationship Id="rId588" Type="http://schemas.openxmlformats.org/officeDocument/2006/relationships/hyperlink" Target="https://www.dropbox.com/scl/fi/i3f4xkkxx79kajh2g5hnr/40278.pdf?rlkey=xi56vit1j7vn5ow4r5at6nehq&amp;dl=0" TargetMode="External"/><Relationship Id="rId795" Type="http://schemas.openxmlformats.org/officeDocument/2006/relationships/hyperlink" Target="https://www.dropbox.com/scl/fi/ec0vjfws3kjcqm4vdwr3g/40749.pdf?rlkey=a9doezlmfk0oq3hjo1uf46009&amp;dl=0" TargetMode="External"/><Relationship Id="rId809" Type="http://schemas.openxmlformats.org/officeDocument/2006/relationships/hyperlink" Target="https://www.dropbox.com/scl/fi/d6m1vrr70y6h9b3bku0y7/40784.pdf?rlkey=4115v0c7vmezo109ct1faxeow&amp;dl=0" TargetMode="External"/><Relationship Id="rId9" Type="http://schemas.openxmlformats.org/officeDocument/2006/relationships/hyperlink" Target="https://www.dropbox.com/scl/fi/neyd66vz29tjd00dkicpb/40922.pdf?rlkey=cwl7dhiwk33wbsemxol32tksk&amp;dl=0" TargetMode="External"/><Relationship Id="rId210" Type="http://schemas.openxmlformats.org/officeDocument/2006/relationships/hyperlink" Target="https://www.dropbox.com/scl/fi/7xq8tnylvmuv58xbqdbh2/41376.pdf?rlkey=o12q34b82841cwq5pfob7lsq5&amp;dl=0" TargetMode="External"/><Relationship Id="rId448" Type="http://schemas.openxmlformats.org/officeDocument/2006/relationships/hyperlink" Target="https://www.dropbox.com/scl/fi/6ceu5rx68p8y2kkbipcam/39997.pdf?rlkey=a8tliv0ndc86g4v6nyejr5s6q&amp;dl=0" TargetMode="External"/><Relationship Id="rId655" Type="http://schemas.openxmlformats.org/officeDocument/2006/relationships/hyperlink" Target="https://www.dropbox.com/scl/fi/k8xjmreudber3zyx6oos5/40381.pdf?rlkey=tsxlll80eeik6ni9mbzs2tn71&amp;dl=0" TargetMode="External"/><Relationship Id="rId862" Type="http://schemas.openxmlformats.org/officeDocument/2006/relationships/hyperlink" Target="https://www.dropbox.com/scl/fi/i5egmtj3shd6g7av4i2bc/41402.pdf?rlkey=dgfmndjv77bx8nieykgqsycfk&amp;dl=0" TargetMode="External"/><Relationship Id="rId294" Type="http://schemas.openxmlformats.org/officeDocument/2006/relationships/hyperlink" Target="https://www.dropbox.com/scl/fi/itvsckku9kzodvewkvaib/39622.pdf?rlkey=e3ofl7zn6d9gthxg0nt1rgf8i&amp;dl=0" TargetMode="External"/><Relationship Id="rId308" Type="http://schemas.openxmlformats.org/officeDocument/2006/relationships/hyperlink" Target="https://www.dropbox.com/scl/fi/pr3ngsbqkvoy46nsghuo5/39656.pdf?rlkey=7nm61p5zgravuefif2hdpj1uz&amp;dl=0" TargetMode="External"/><Relationship Id="rId515" Type="http://schemas.openxmlformats.org/officeDocument/2006/relationships/hyperlink" Target="https://www.dropbox.com/scl/fi/ky04qo6gnzbu8ideodngy/40152.pdf?rlkey=pq4zfvrds9rbx3x5rudasn2d3&amp;dl=0" TargetMode="External"/><Relationship Id="rId722" Type="http://schemas.openxmlformats.org/officeDocument/2006/relationships/hyperlink" Target="https://www.dropbox.com/scl/fi/g3oizvas5atl8si5h2jrk/40503.pdf?rlkey=q5che82tgkixgz5uz1j9jn94x&amp;dl=0" TargetMode="External"/><Relationship Id="rId89" Type="http://schemas.openxmlformats.org/officeDocument/2006/relationships/hyperlink" Target="https://www.dropbox.com/scl/fi/f9mv3ferz2tf2t1676wnq/41384.pdf?rlkey=etli6t7t6nidouc1qiv50q8js&amp;dl=0" TargetMode="External"/><Relationship Id="rId154" Type="http://schemas.openxmlformats.org/officeDocument/2006/relationships/hyperlink" Target="https://www.dropbox.com/scl/fi/176nrr5unsygbn7faz86o/41164.pdf?rlkey=f9yv0qbarkapl2bsisc3sm7hw&amp;dl=0" TargetMode="External"/><Relationship Id="rId361" Type="http://schemas.openxmlformats.org/officeDocument/2006/relationships/hyperlink" Target="https://www.dropbox.com/scl/fi/a8ffvbuypdjy490kng4oy/39791.pdf?rlkey=0ian21egroies5wyzwjgk5a6y&amp;dl=0" TargetMode="External"/><Relationship Id="rId599" Type="http://schemas.openxmlformats.org/officeDocument/2006/relationships/hyperlink" Target="https://www.dropbox.com/scl/fi/ardb06z7ryan3zh65uo8j/40293.pdf?rlkey=if2p5rc2huag768s7fb13e8sz&amp;dl=0" TargetMode="External"/><Relationship Id="rId1005" Type="http://schemas.openxmlformats.org/officeDocument/2006/relationships/hyperlink" Target="https://www.dropbox.com/scl/fi/tj32wg8gr78p0m2shpl98/41705.pdf?rlkey=zevkq2zh5x9s2acm1ltyd2jeb&amp;dl=0" TargetMode="External"/><Relationship Id="rId459" Type="http://schemas.openxmlformats.org/officeDocument/2006/relationships/hyperlink" Target="https://www.dropbox.com/scl/fi/m0a8hnnyxu4yqjr9hqoid/40026.pdf?rlkey=r8w830pxi06rptcfqil5lscte&amp;dl=0" TargetMode="External"/><Relationship Id="rId666" Type="http://schemas.openxmlformats.org/officeDocument/2006/relationships/hyperlink" Target="https://www.dropbox.com/scl/fi/4eqczvfek08ds59xjtnww/40416.pdf?rlkey=kh664iwg6rbmu8tadydpvd67t&amp;dl=0" TargetMode="External"/><Relationship Id="rId873" Type="http://schemas.openxmlformats.org/officeDocument/2006/relationships/hyperlink" Target="https://www.dropbox.com/scl/fi/6nmaucf5f724b2emv1vrw/41420.pdf?rlkey=5cxpaum7ihsx6kpsxi9qevx2k&amp;dl=0" TargetMode="External"/><Relationship Id="rId16" Type="http://schemas.openxmlformats.org/officeDocument/2006/relationships/hyperlink" Target="https://www.dropbox.com/scl/fi/ienvqzvgd1e7nskhxu0x1/41270.pdf?rlkey=hnxiapwir8qyemlt5kg3jpihv&amp;dl=0" TargetMode="External"/><Relationship Id="rId221" Type="http://schemas.openxmlformats.org/officeDocument/2006/relationships/hyperlink" Target="https://www.dropbox.com/scl/fi/n3jiyfs7gvx6bx1ktocns/39419.pdf?rlkey=e27cd7iy1wn9kle8b7jccpoat&amp;dl=0" TargetMode="External"/><Relationship Id="rId319" Type="http://schemas.openxmlformats.org/officeDocument/2006/relationships/hyperlink" Target="https://www.dropbox.com/scl/fi/0gt62shnlkr6l1tyczefr/39697.pdf?rlkey=hu93dtv5sytm4nchrcrkpby5i&amp;dl=0" TargetMode="External"/><Relationship Id="rId526" Type="http://schemas.openxmlformats.org/officeDocument/2006/relationships/hyperlink" Target="https://www.dropbox.com/scl/fi/gboaoha5ijk4aclpps37h/40176.pdf?rlkey=es147c9vurqualokbcqfszpmv&amp;dl=0" TargetMode="External"/><Relationship Id="rId733" Type="http://schemas.openxmlformats.org/officeDocument/2006/relationships/hyperlink" Target="https://www.dropbox.com/scl/fi/b8m51cn6cmmjqx92t2rue/40514.pdf?rlkey=as90y4wzpkwi8h73j52ziq2vc&amp;dl=0" TargetMode="External"/><Relationship Id="rId940" Type="http://schemas.openxmlformats.org/officeDocument/2006/relationships/hyperlink" Target="https://www.dropbox.com/scl/fi/usrx6qcxa6hmxnp3v0nf1/41523.pdf?rlkey=7cnewy0ikze8l99ps2097gxeg&amp;dl=0" TargetMode="External"/><Relationship Id="rId165" Type="http://schemas.openxmlformats.org/officeDocument/2006/relationships/hyperlink" Target="https://www.dropbox.com/scl/fi/q2ejk2ema3dif0x4r8069/41198.pdf?rlkey=f90ieyhsu4zy5jll31qwyxxzn&amp;dl=0" TargetMode="External"/><Relationship Id="rId372" Type="http://schemas.openxmlformats.org/officeDocument/2006/relationships/hyperlink" Target="https://www.dropbox.com/scl/fi/4sfvs31jbdcqn341pmmv9/39810.pdf?rlkey=sncayf3wzst9sud2qena9lhvz&amp;dl=0" TargetMode="External"/><Relationship Id="rId677" Type="http://schemas.openxmlformats.org/officeDocument/2006/relationships/hyperlink" Target="https://www.dropbox.com/scl/fi/a6ye44s3zbu32f2pu3vee/40427.pdf?rlkey=2q0wh4aspijla4fkgb9ppua8e&amp;dl=0" TargetMode="External"/><Relationship Id="rId800" Type="http://schemas.openxmlformats.org/officeDocument/2006/relationships/hyperlink" Target="https://www.dropbox.com/scl/fi/o684i0zbsosd5psbvd7qj/40757.pdf?rlkey=t9q4l60v6tvyjunaggt7b2xlb&amp;dl=0" TargetMode="External"/><Relationship Id="rId232" Type="http://schemas.openxmlformats.org/officeDocument/2006/relationships/hyperlink" Target="https://www.dropbox.com/scl/fi/eei0wo54zkzkvceag60w5/39445.pdf?rlkey=jsjpuestwldjromc5un0eyqn3&amp;dl=0" TargetMode="External"/><Relationship Id="rId884" Type="http://schemas.openxmlformats.org/officeDocument/2006/relationships/hyperlink" Target="https://www.dropbox.com/scl/fi/25d4hdgalaveonymp8hx2/41435.pdf?rlkey=p4yc153kv00hyg4jfw659scmw&amp;dl=0" TargetMode="External"/><Relationship Id="rId27" Type="http://schemas.openxmlformats.org/officeDocument/2006/relationships/hyperlink" Target="https://www.dropbox.com/scl/fi/n7p8jlvodd0a67re8ayf5/41315.pdf?rlkey=c9a0wder7lr4ceilvjq9020oz&amp;dl=0" TargetMode="External"/><Relationship Id="rId537" Type="http://schemas.openxmlformats.org/officeDocument/2006/relationships/hyperlink" Target="https://www.dropbox.com/scl/fi/wn2vhstog4df9kftej639/40190.pdf?rlkey=pbh0zmrzul6is2ycisfxsjfi3&amp;dl=0" TargetMode="External"/><Relationship Id="rId744" Type="http://schemas.openxmlformats.org/officeDocument/2006/relationships/hyperlink" Target="https://www.dropbox.com/scl/fi/zm17u2vqrsgx850jhi2v1/40532.pdf?rlkey=o3ovhqavasxdp6j7ga43f2ax3&amp;dl=0" TargetMode="External"/><Relationship Id="rId951" Type="http://schemas.openxmlformats.org/officeDocument/2006/relationships/hyperlink" Target="https://www.dropbox.com/scl/fi/9ql063qkxc2ea05dbfky4/41562.pdf?rlkey=oaljou2fnz2je2adlhjc1vw0r&amp;dl=0" TargetMode="External"/><Relationship Id="rId80" Type="http://schemas.openxmlformats.org/officeDocument/2006/relationships/hyperlink" Target="https://www.dropbox.com/scl/fi/dhyd1m7689qxtgfn1yltq/41305.pdf?rlkey=4bz10vs5rr1pqrrpclizs2r8f&amp;dl=0" TargetMode="External"/><Relationship Id="rId176" Type="http://schemas.openxmlformats.org/officeDocument/2006/relationships/hyperlink" Target="https://www.dropbox.com/scl/fi/99speg1cy2hhmrwllkotn/41265.pdf?rlkey=9y2pcjkp03n1a2w9pzseqenok&amp;dl=0" TargetMode="External"/><Relationship Id="rId383" Type="http://schemas.openxmlformats.org/officeDocument/2006/relationships/hyperlink" Target="https://www.dropbox.com/scl/fi/ibbril5xh59exrw2u6t50/39851.pdf?rlkey=h8lompuee7sd2a6p7hu2cdvdy&amp;dl=0" TargetMode="External"/><Relationship Id="rId590" Type="http://schemas.openxmlformats.org/officeDocument/2006/relationships/hyperlink" Target="https://www.dropbox.com/scl/fi/bqmtdzvton3sdfocrkp30/40280.pdf?rlkey=w9bymlz8jqenpyilqpcoca7kt&amp;dl=0" TargetMode="External"/><Relationship Id="rId604" Type="http://schemas.openxmlformats.org/officeDocument/2006/relationships/hyperlink" Target="https://www.dropbox.com/scl/fi/r9x8nvgmfo7uodwlm0if1/40301.pdf?rlkey=u8ssy2fvouaz80dh8ernnxg6g&amp;dl=0" TargetMode="External"/><Relationship Id="rId811" Type="http://schemas.openxmlformats.org/officeDocument/2006/relationships/hyperlink" Target="https://www.dropbox.com/scl/fi/swivhfl6ma0j1cjmiyp6m/40788.pdf?rlkey=3mcil61zix93wt7umffs47xbx&amp;dl=0" TargetMode="External"/><Relationship Id="rId243" Type="http://schemas.openxmlformats.org/officeDocument/2006/relationships/hyperlink" Target="https://www.dropbox.com/scl/fi/lgwdu4xw51kb2r0r6unoa/39472.pdf?rlkey=na863mnwz1amgg3d7mro7vri8&amp;dl=0" TargetMode="External"/><Relationship Id="rId450" Type="http://schemas.openxmlformats.org/officeDocument/2006/relationships/hyperlink" Target="https://www.dropbox.com/scl/fi/dgb9evdo5ke9msjg20n5e/40002.pdf?rlkey=i41qsusy5xt3vszsl9t8tpfud&amp;dl=0" TargetMode="External"/><Relationship Id="rId688" Type="http://schemas.openxmlformats.org/officeDocument/2006/relationships/hyperlink" Target="https://www.dropbox.com/scl/fi/sacz0kgtfsb1qlj8pkvtb/40446.pdf?rlkey=ny48iu1x462kljefu1g8oxjni&amp;dl=0" TargetMode="External"/><Relationship Id="rId895" Type="http://schemas.openxmlformats.org/officeDocument/2006/relationships/hyperlink" Target="https://www.dropbox.com/scl/fi/ixz3nniy3ab7np1qvrdwm/41458.pdf?rlkey=1gth91wn6qpr93u85ov7nll12&amp;dl=0" TargetMode="External"/><Relationship Id="rId909" Type="http://schemas.openxmlformats.org/officeDocument/2006/relationships/hyperlink" Target="https://www.dropbox.com/scl/fi/cn9jwuvw5kqt9qwmnyeio/41475.pdf?rlkey=hkpk19f9anp6l4rsbog7av1y8&amp;dl=0" TargetMode="External"/><Relationship Id="rId38" Type="http://schemas.openxmlformats.org/officeDocument/2006/relationships/hyperlink" Target="https://www.dropbox.com/scl/fi/jxuctpb1f01ape587g2kc/41105.pdf?rlkey=ewbmrbzk2jmq2khi6aymslje6&amp;dl=0" TargetMode="External"/><Relationship Id="rId103" Type="http://schemas.openxmlformats.org/officeDocument/2006/relationships/hyperlink" Target="https://www.dropbox.com/scl/fi/bqlptin5a3jvq1m1qodw8/40914.pdf?rlkey=ln56yjoxvb8nclohrjfvzxt6w&amp;dl=0" TargetMode="External"/><Relationship Id="rId310" Type="http://schemas.openxmlformats.org/officeDocument/2006/relationships/hyperlink" Target="https://www.dropbox.com/scl/fi/xqmnsgq12s5yjtxavzft8/39659.pdf?rlkey=t29hpat45e4a1mku6xywvd78n&amp;dl=0" TargetMode="External"/><Relationship Id="rId548" Type="http://schemas.openxmlformats.org/officeDocument/2006/relationships/hyperlink" Target="https://www.dropbox.com/scl/fi/wzcpa2997psqkg1uymv0o/40206.pdf?rlkey=zzczk9iixmujh3vutalf96z48&amp;dl=0" TargetMode="External"/><Relationship Id="rId755" Type="http://schemas.openxmlformats.org/officeDocument/2006/relationships/hyperlink" Target="https://www.dropbox.com/scl/fi/0jvygexi0bixu8rtt33t6/40548.pdf?rlkey=l9aej3893pwoixkq9nckpjsss&amp;dl=0" TargetMode="External"/><Relationship Id="rId962" Type="http://schemas.openxmlformats.org/officeDocument/2006/relationships/hyperlink" Target="https://www.dropbox.com/scl/fi/awtqo60m5k8qy4zm7kz50/41584.pdf?rlkey=u5syhnc0x6vw5gcbvf30ddzfs&amp;dl=0" TargetMode="External"/><Relationship Id="rId91" Type="http://schemas.openxmlformats.org/officeDocument/2006/relationships/hyperlink" Target="https://www.dropbox.com/scl/fi/jti7p888jrywjuramuprx/41161.pdf?rlkey=hps8jsmihymfz3qht7ssne9z1&amp;dl=0" TargetMode="External"/><Relationship Id="rId187" Type="http://schemas.openxmlformats.org/officeDocument/2006/relationships/hyperlink" Target="https://www.dropbox.com/scl/fi/mmca9t8cyyxuolrt04j3i/41340.pdf?rlkey=d9a5mquevwimaoo6p4bpdfd94&amp;dl=0" TargetMode="External"/><Relationship Id="rId394" Type="http://schemas.openxmlformats.org/officeDocument/2006/relationships/hyperlink" Target="https://www.dropbox.com/scl/fi/tmje8gh03lxtdci1cr64r/39867.pdf?rlkey=eus73bhw8ytao6y1riiem07fw&amp;dl=0" TargetMode="External"/><Relationship Id="rId408" Type="http://schemas.openxmlformats.org/officeDocument/2006/relationships/hyperlink" Target="https://www.dropbox.com/scl/fi/60v0o6bg3309rosst78k6/39907.pdf?rlkey=y1j6di1k7p5k9pqbn8s2qbu54&amp;dl=0" TargetMode="External"/><Relationship Id="rId615" Type="http://schemas.openxmlformats.org/officeDocument/2006/relationships/hyperlink" Target="https://www.dropbox.com/scl/fi/ofqjsf9y5n04s6klqqi6t/40316.pdf?rlkey=ysilb2314hq2pm5eaad5jmltb&amp;dl=0" TargetMode="External"/><Relationship Id="rId822" Type="http://schemas.openxmlformats.org/officeDocument/2006/relationships/hyperlink" Target="https://www.dropbox.com/scl/fi/3sxq537dqu9upeoe114q7/40838.pdf?rlkey=zn9c3y0v12bhm5rzs94piq5cp&amp;dl=0" TargetMode="External"/><Relationship Id="rId254" Type="http://schemas.openxmlformats.org/officeDocument/2006/relationships/hyperlink" Target="https://www.dropbox.com/scl/fi/4k164vz13sba2shoqrbiv/39521.pdf?rlkey=nrzgqoilvxz3dmyzxs4lbnrbb&amp;dl=0" TargetMode="External"/><Relationship Id="rId699" Type="http://schemas.openxmlformats.org/officeDocument/2006/relationships/hyperlink" Target="https://www.dropbox.com/scl/fi/66swu9kv6f9gq4iaz1675/40465.pdf?rlkey=lmygp97bft2ndi9c82eksymbi&amp;dl=0" TargetMode="External"/><Relationship Id="rId49" Type="http://schemas.openxmlformats.org/officeDocument/2006/relationships/hyperlink" Target="https://www.dropbox.com/scl/fi/44gzhomkorbfscmbihbh2/41012.pdf?rlkey=f7hovgsay7ihu48gnv3liqr66&amp;dl=0" TargetMode="External"/><Relationship Id="rId114" Type="http://schemas.openxmlformats.org/officeDocument/2006/relationships/hyperlink" Target="https://www.dropbox.com/scl/fi/twgv4ljixzjbplq47i21p/41005.pdf?rlkey=uw1ig3g4as7fh0zs9n3u5uy70&amp;dl=0" TargetMode="External"/><Relationship Id="rId461" Type="http://schemas.openxmlformats.org/officeDocument/2006/relationships/hyperlink" Target="https://www.dropbox.com/scl/fi/1fj41olocj7l6z5gyc19u/40032.pdf?rlkey=v6pr4qfmgdgtdlpqqfkbs91ai&amp;dl=0" TargetMode="External"/><Relationship Id="rId559" Type="http://schemas.openxmlformats.org/officeDocument/2006/relationships/hyperlink" Target="https://www.dropbox.com/scl/fi/rs4rr3hejyent7nmchcpk/40219.pdf?rlkey=8mvgts2bmuslb16hs6bicxynp&amp;dl=0" TargetMode="External"/><Relationship Id="rId766" Type="http://schemas.openxmlformats.org/officeDocument/2006/relationships/hyperlink" Target="https://www.dropbox.com/scl/fi/vf45g36382zeh8ecabni2/40710.pdf?rlkey=2n9tionzkazs7k8dib705gkec&amp;dl=0" TargetMode="External"/><Relationship Id="rId198" Type="http://schemas.openxmlformats.org/officeDocument/2006/relationships/hyperlink" Target="https://www.dropbox.com/scl/fi/dskx2q2ixprq59viikesh/41357.pdf?rlkey=yot4v15j8xc4ws0n07v6gkpk3&amp;dl=0" TargetMode="External"/><Relationship Id="rId321" Type="http://schemas.openxmlformats.org/officeDocument/2006/relationships/hyperlink" Target="https://www.dropbox.com/scl/fi/5kbz7nxvkz2e8vq41umhc/39704.pdf?rlkey=lc0yq0mamnvwpplpnggrdo3kl&amp;dl=0" TargetMode="External"/><Relationship Id="rId419" Type="http://schemas.openxmlformats.org/officeDocument/2006/relationships/hyperlink" Target="https://www.dropbox.com/scl/fi/1az6ncgrnpril5f1t4oj4/39930.pdf?rlkey=nilltuqlb74hc0jvgrek95jsq&amp;dl=0" TargetMode="External"/><Relationship Id="rId626" Type="http://schemas.openxmlformats.org/officeDocument/2006/relationships/hyperlink" Target="https://www.dropbox.com/scl/fi/rc0049g8t7ux6p4akwmpj/40327.pdf?rlkey=0whzcfwdlhldjwgjmrd5jaaxp&amp;dl=0" TargetMode="External"/><Relationship Id="rId973" Type="http://schemas.openxmlformats.org/officeDocument/2006/relationships/hyperlink" Target="https://www.dropbox.com/scl/fi/cfk8awrrz7jggfdl6zyfz/41625.pdf?rlkey=dfmsvpoebks5xhsdiaf1i1xfn&amp;dl=0" TargetMode="External"/><Relationship Id="rId833" Type="http://schemas.openxmlformats.org/officeDocument/2006/relationships/hyperlink" Target="https://www.dropbox.com/scl/fi/u10xekjsyl7q2disrb4e2/40886.pdf?rlkey=v491h5b28v0rq4goqz6anow1m&amp;dl=0" TargetMode="External"/><Relationship Id="rId265" Type="http://schemas.openxmlformats.org/officeDocument/2006/relationships/hyperlink" Target="https://www.dropbox.com/scl/fi/xrwk342509zk87ykk49ha/39538.pdf?rlkey=t5uu1qqk6k33wz8zmu9vy2z69&amp;dl=0" TargetMode="External"/><Relationship Id="rId472" Type="http://schemas.openxmlformats.org/officeDocument/2006/relationships/hyperlink" Target="https://www.dropbox.com/scl/fi/m1wpeegw474j6zqs1m9fq/40049.pdf?rlkey=78k03va02nf8tjazlfmtvg8bo&amp;dl=0" TargetMode="External"/><Relationship Id="rId900" Type="http://schemas.openxmlformats.org/officeDocument/2006/relationships/hyperlink" Target="https://www.dropbox.com/scl/fi/m4k1296o7n4ngfqaura5k/41463.pdf?rlkey=epn35z5t13dylzwh3ac39q088&amp;dl=0" TargetMode="External"/><Relationship Id="rId125" Type="http://schemas.openxmlformats.org/officeDocument/2006/relationships/hyperlink" Target="https://www.dropbox.com/scl/fi/srycbzzmu7oq8vx78kgwg/41049.pdf?rlkey=f1g6vdt59xlmltpj7l393m012&amp;dl=0" TargetMode="External"/><Relationship Id="rId332" Type="http://schemas.openxmlformats.org/officeDocument/2006/relationships/hyperlink" Target="https://www.dropbox.com/scl/fi/5y57dvhtn0ubhnpkek5nh/39730.pdf?rlkey=51yqjdhjepivqum74n4wc8nj7&amp;dl=0" TargetMode="External"/><Relationship Id="rId777" Type="http://schemas.openxmlformats.org/officeDocument/2006/relationships/hyperlink" Target="https://www.dropbox.com/scl/fi/saojx7ywowi8esf93srib/40727.pdf?rlkey=7dirsiolbqj3ienn1g3apj1s1&amp;dl=0" TargetMode="External"/><Relationship Id="rId984" Type="http://schemas.openxmlformats.org/officeDocument/2006/relationships/hyperlink" Target="https://www.dropbox.com/scl/fi/yroc3pwligptugbxl9m1p/41648.pdf?rlkey=bf4dquic79t9c77le06ltphx8&amp;dl=0" TargetMode="External"/><Relationship Id="rId637" Type="http://schemas.openxmlformats.org/officeDocument/2006/relationships/hyperlink" Target="https://www.dropbox.com/scl/fi/0ja6n6qf5s5o6rju6izji/40347.pdf?rlkey=2kpzwvrfa11qypzgaz5h5r2tm&amp;dl=0" TargetMode="External"/><Relationship Id="rId844" Type="http://schemas.openxmlformats.org/officeDocument/2006/relationships/hyperlink" Target="https://www.dropbox.com/scl/fi/ocmmcc8jyyu6zrc1i9tdb/40942.pdf?rlkey=rpog7ai4iwb4mn6z3mtx4elxw&amp;dl=0" TargetMode="External"/><Relationship Id="rId276" Type="http://schemas.openxmlformats.org/officeDocument/2006/relationships/hyperlink" Target="https://www.dropbox.com/scl/fi/31xe3yitnabeb98sswink/39591.pdf?rlkey=l1zzdxdo34tf2bmdjdpjyqex9&amp;dl=0" TargetMode="External"/><Relationship Id="rId483" Type="http://schemas.openxmlformats.org/officeDocument/2006/relationships/hyperlink" Target="https://www.dropbox.com/scl/fi/q07u6un1dfj4hii7me9qs/40062.pdf?rlkey=yif0u0deugeo2mf7ow80kjtji&amp;dl=0" TargetMode="External"/><Relationship Id="rId690" Type="http://schemas.openxmlformats.org/officeDocument/2006/relationships/hyperlink" Target="https://www.dropbox.com/scl/fi/4gk6jpbk22vsdqt7w9i8v/40451.pdf?rlkey=uqfjui9qiv55rbqfwk8843kiz&amp;dl=0" TargetMode="External"/><Relationship Id="rId704" Type="http://schemas.openxmlformats.org/officeDocument/2006/relationships/hyperlink" Target="https://www.dropbox.com/scl/fi/t37u6kr2fe5b3ufxtzn0l/40472.pdf?rlkey=p71eszsu00t1ow8kfkgzwsoz1&amp;dl=0" TargetMode="External"/><Relationship Id="rId911" Type="http://schemas.openxmlformats.org/officeDocument/2006/relationships/hyperlink" Target="https://www.dropbox.com/scl/fi/b38bk9s06hgxpsu0v91fh/41480.pdf?rlkey=cb6iu3r8oygp6prnli9xjrouk&amp;dl=0" TargetMode="External"/><Relationship Id="rId40" Type="http://schemas.openxmlformats.org/officeDocument/2006/relationships/hyperlink" Target="https://www.dropbox.com/scl/fi/4ccenrnc17mwj52fuuvr6/41102.pdf?rlkey=shgrmxq1yhgmel3asqi7vn32j&amp;dl=0" TargetMode="External"/><Relationship Id="rId136" Type="http://schemas.openxmlformats.org/officeDocument/2006/relationships/hyperlink" Target="https://www.dropbox.com/scl/fi/i7wdpok1ivr0xrjl3m0j3/41096.pdf?rlkey=4fvzt1x00jaiy02oy2cknx1d1&amp;dl=0" TargetMode="External"/><Relationship Id="rId343" Type="http://schemas.openxmlformats.org/officeDocument/2006/relationships/hyperlink" Target="https://www.dropbox.com/scl/fi/7u119odip9nr9efebgbhx/39743.pdf?rlkey=034x22z0s2juueo53nnwxku4t&amp;dl=0" TargetMode="External"/><Relationship Id="rId550" Type="http://schemas.openxmlformats.org/officeDocument/2006/relationships/hyperlink" Target="https://www.dropbox.com/scl/fi/lgyuk5qj6umkql5ol0hc6/40208.pdf?rlkey=joewogdquvakh472gxq0o5amk&amp;dl=0" TargetMode="External"/><Relationship Id="rId788" Type="http://schemas.openxmlformats.org/officeDocument/2006/relationships/hyperlink" Target="https://www.dropbox.com/scl/fi/lyoy0vshst1uow11e2kv9/40742.pdf?rlkey=4n1wqiawaqyk8r0hoxial3wbm&amp;dl=0" TargetMode="External"/><Relationship Id="rId995" Type="http://schemas.openxmlformats.org/officeDocument/2006/relationships/hyperlink" Target="https://www.dropbox.com/scl/fi/6aqbif4wvqeivax9s6s4l/41667.pdf?rlkey=xnsr2kj6b0ndq1gdyqmfl0d51&amp;dl=0" TargetMode="External"/><Relationship Id="rId203" Type="http://schemas.openxmlformats.org/officeDocument/2006/relationships/hyperlink" Target="https://www.dropbox.com/scl/fi/lzoo8ayjst8ibt5u79vqt/41369.pdf?rlkey=m4gngbv70ks9lhmkkvogeksx7&amp;dl=0" TargetMode="External"/><Relationship Id="rId648" Type="http://schemas.openxmlformats.org/officeDocument/2006/relationships/hyperlink" Target="https://www.dropbox.com/scl/fi/f8yirskyld8p9wfdpd0c9/40371.pdf?rlkey=8lbi38cjfjfksfmnhejmyvcf5&amp;dl=0" TargetMode="External"/><Relationship Id="rId855" Type="http://schemas.openxmlformats.org/officeDocument/2006/relationships/hyperlink" Target="https://www.dropbox.com/scl/fi/gaphxoa9wdkvxvzvjh3ug/41394.pdf?rlkey=sqd0iong48lgxu335df4h8004&amp;dl=0" TargetMode="External"/><Relationship Id="rId287" Type="http://schemas.openxmlformats.org/officeDocument/2006/relationships/hyperlink" Target="https://www.dropbox.com/scl/fi/3scu083t9jl5b0ozqakxw/39613.pdf?rlkey=z6g4bgor3gqdt15kripjf9ifq&amp;dl=0" TargetMode="External"/><Relationship Id="rId410" Type="http://schemas.openxmlformats.org/officeDocument/2006/relationships/hyperlink" Target="https://www.dropbox.com/scl/fi/o867bhtg5liw8b4tt4n2k/39916.pdf?rlkey=5kbw75xezv8z7yhixp93aoexf&amp;dl=0" TargetMode="External"/><Relationship Id="rId494" Type="http://schemas.openxmlformats.org/officeDocument/2006/relationships/hyperlink" Target="https://www.dropbox.com/scl/fi/uloyr9s3t8puc8ai68ito/40095.pdf?rlkey=hg4sr93xfbpgnrs57x97f3gm7&amp;dl=0" TargetMode="External"/><Relationship Id="rId508" Type="http://schemas.openxmlformats.org/officeDocument/2006/relationships/hyperlink" Target="https://www.dropbox.com/scl/fi/kld2p4gdxtrngbfc0o935/40128.pdf?rlkey=qhayzx90hkrc5z1375ma7wf4v&amp;dl=0" TargetMode="External"/><Relationship Id="rId715" Type="http://schemas.openxmlformats.org/officeDocument/2006/relationships/hyperlink" Target="https://www.dropbox.com/scl/fi/umkbttlra9t6nc44tzkmz/40490.pdf?rlkey=tzs9qs1husc3eqyv35dsfc6az&amp;dl=0" TargetMode="External"/><Relationship Id="rId922" Type="http://schemas.openxmlformats.org/officeDocument/2006/relationships/hyperlink" Target="https://www.dropbox.com/scl/fi/dx138ea2g1ij09ee584ba/41493.pdf?rlkey=p0614zbidvgh9vxr0aqmdtze9&amp;dl=0" TargetMode="External"/><Relationship Id="rId147" Type="http://schemas.openxmlformats.org/officeDocument/2006/relationships/hyperlink" Target="https://www.dropbox.com/scl/fi/0gwbrd96sm94on2dn5cgk/41135.pdf?rlkey=gg6ddkv19t9s8ogdln2kjfdo8&amp;dl=0" TargetMode="External"/><Relationship Id="rId354" Type="http://schemas.openxmlformats.org/officeDocument/2006/relationships/hyperlink" Target="https://www.dropbox.com/scl/fi/0jr5vv4x73r98mmp9y00f/39768.pdf?rlkey=4ia0cj9nnxjiuxxlw9c39vp8z&amp;dl=0" TargetMode="External"/><Relationship Id="rId799" Type="http://schemas.openxmlformats.org/officeDocument/2006/relationships/hyperlink" Target="https://www.dropbox.com/scl/fi/i4e0aapodclbaiqff2ey4/40756.pdf?rlkey=4jto8g0fkbnpvrtoa31utomtf&amp;dl=0" TargetMode="External"/><Relationship Id="rId51" Type="http://schemas.openxmlformats.org/officeDocument/2006/relationships/hyperlink" Target="https://www.dropbox.com/scl/fi/q8mq0q8yshqigatbmruxr/41147.pdf?rlkey=r5bshiyb72ujoapycs3tuyv8z&amp;dl=0" TargetMode="External"/><Relationship Id="rId561" Type="http://schemas.openxmlformats.org/officeDocument/2006/relationships/hyperlink" Target="https://www.dropbox.com/scl/fi/4vulcdxiqyvo359x6lf9h/40221.pdf?rlkey=uo5is6krt8qth2cpgsg5mb81i&amp;dl=0" TargetMode="External"/><Relationship Id="rId659" Type="http://schemas.openxmlformats.org/officeDocument/2006/relationships/hyperlink" Target="https://www.dropbox.com/scl/fi/7ykopwtt9dfx0bthrhwg8/40393.pdf?rlkey=md9ebtd56b2a12uxz0tw2qpjw&amp;dl=0" TargetMode="External"/><Relationship Id="rId866" Type="http://schemas.openxmlformats.org/officeDocument/2006/relationships/hyperlink" Target="https://www.dropbox.com/scl/fi/ku29cajrgvz4k2m6uwz05/41407.pdf?rlkey=a2d7ybppmz3z9z6xed7h9u30b&amp;dl=0" TargetMode="External"/><Relationship Id="rId214" Type="http://schemas.openxmlformats.org/officeDocument/2006/relationships/hyperlink" Target="../../../../../Containers/com.microsoft.Excel/Data/Library/Application%20Support/Microsoft/41387.pdf" TargetMode="External"/><Relationship Id="rId298" Type="http://schemas.openxmlformats.org/officeDocument/2006/relationships/hyperlink" Target="https://www.dropbox.com/scl/fi/18rz54mqqsu3c0aknlto4/39628.pdf?rlkey=vry50t173rloym5rm2ld9mm34&amp;dl=0" TargetMode="External"/><Relationship Id="rId421" Type="http://schemas.openxmlformats.org/officeDocument/2006/relationships/hyperlink" Target="https://www.dropbox.com/scl/fi/u2191q36rzu7zudmsnrb6/39945.pdf?rlkey=dbnubmfcwr4eiw7aonmflagp7&amp;dl=0" TargetMode="External"/><Relationship Id="rId519" Type="http://schemas.openxmlformats.org/officeDocument/2006/relationships/hyperlink" Target="https://www.dropbox.com/scl/fi/96b9pit22hvi84xysku30/40163.pdf?rlkey=f22dkf2agwancysr4jn4ffgkc&amp;dl=0" TargetMode="External"/><Relationship Id="rId158" Type="http://schemas.openxmlformats.org/officeDocument/2006/relationships/hyperlink" Target="../../../../../Containers/com.microsoft.Excel/Data/Library/Application%20Support/Microsoft/41177.pdf" TargetMode="External"/><Relationship Id="rId726" Type="http://schemas.openxmlformats.org/officeDocument/2006/relationships/hyperlink" Target="https://www.dropbox.com/scl/fi/v27c3euxqpy89imbetwp4/40507.pdf?rlkey=2hq34fhm2obsh61o45ryo2q7n&amp;dl=0" TargetMode="External"/><Relationship Id="rId933" Type="http://schemas.openxmlformats.org/officeDocument/2006/relationships/hyperlink" Target="https://www.dropbox.com/scl/fi/qcux5nnzqg4fvx5uh2k6u/41512.pdf?rlkey=p0wcyrfal074aqw02o4fw78ss&amp;dl=0" TargetMode="External"/><Relationship Id="rId62" Type="http://schemas.openxmlformats.org/officeDocument/2006/relationships/hyperlink" Target="https://www.dropbox.com/scl/fi/on25n7u4q5keuwqaq9iyh/41167.pdf?rlkey=p9lt6049n3jtirhiswq6a9daz&amp;dl=0" TargetMode="External"/><Relationship Id="rId365" Type="http://schemas.openxmlformats.org/officeDocument/2006/relationships/hyperlink" Target="https://www.dropbox.com/scl/fi/i1ocqbkcq3g7j884zruv1/39803.pdf?rlkey=allm20qhps5zsao1kgn5wkbbj&amp;dl=0" TargetMode="External"/><Relationship Id="rId572" Type="http://schemas.openxmlformats.org/officeDocument/2006/relationships/hyperlink" Target="https://www.dropbox.com/scl/fi/vy66vi8uj2awf9id1gt5w/40233.pdf?rlkey=xhkjwa2j3pakcu9s98l2mn8oa&amp;dl=0" TargetMode="External"/><Relationship Id="rId225" Type="http://schemas.openxmlformats.org/officeDocument/2006/relationships/hyperlink" Target="https://www.dropbox.com/scl/fi/bqtly2ohc9vw5o982s8lg/39433.pdf?rlkey=0vd0lt60vdupbwcczeiyrw7xc&amp;dl=0" TargetMode="External"/><Relationship Id="rId432" Type="http://schemas.openxmlformats.org/officeDocument/2006/relationships/hyperlink" Target="https://www.dropbox.com/scl/fi/q5zkwl7xuv2z4ru1wrkdk/39959.pdf?rlkey=moffldf84z2c5y355c1rqujhs&amp;dl=0" TargetMode="External"/><Relationship Id="rId877" Type="http://schemas.openxmlformats.org/officeDocument/2006/relationships/hyperlink" Target="https://www.dropbox.com/scl/fi/h5a1imv63hy2su5mae8yf/41428.pdf?rlkey=rw14fya2i7wjkfix6qrck7jlb&amp;dl=0" TargetMode="External"/><Relationship Id="rId737" Type="http://schemas.openxmlformats.org/officeDocument/2006/relationships/hyperlink" Target="https://www.dropbox.com/scl/fi/pjditxx3ifsdwm5bgh534/40518.pdf?rlkey=f2ytdcxof1l715wbxn1p7kfd9&amp;dl=0" TargetMode="External"/><Relationship Id="rId944" Type="http://schemas.openxmlformats.org/officeDocument/2006/relationships/hyperlink" Target="https://www.dropbox.com/scl/fi/ri170q7y6opeptnq1vj9o/41534.pdf?rlkey=ylr9uaygt2muml18d9pj2i66q&amp;dl=0" TargetMode="External"/><Relationship Id="rId73" Type="http://schemas.openxmlformats.org/officeDocument/2006/relationships/hyperlink" Target="https://www.dropbox.com/scl/fi/ojrkl2xq8h3eoymfvcg5q/41257.pdf?rlkey=7b8zq9917w2zrc7ezepyiol0a&amp;dl=0" TargetMode="External"/><Relationship Id="rId169" Type="http://schemas.openxmlformats.org/officeDocument/2006/relationships/hyperlink" Target="https://www.dropbox.com/scl/fi/9k0pklehg6dl40t3bi3sc/41209.pdf?rlkey=t1qm5pdf560mb6q9ljkr9ufrw&amp;dl=0" TargetMode="External"/><Relationship Id="rId376" Type="http://schemas.openxmlformats.org/officeDocument/2006/relationships/hyperlink" Target="https://www.dropbox.com/scl/fi/pfwqzc2yehdl6ilg98q5u/39831.pdf?rlkey=ejnv97wto7krderhfxx287i6r&amp;dl=0" TargetMode="External"/><Relationship Id="rId583" Type="http://schemas.openxmlformats.org/officeDocument/2006/relationships/hyperlink" Target="https://www.dropbox.com/scl/fi/yuipw190d078048ma0emk/40269.pdf?rlkey=6d0u6sjewn4xx8k3rifgnpysv&amp;dl=0" TargetMode="External"/><Relationship Id="rId790" Type="http://schemas.openxmlformats.org/officeDocument/2006/relationships/hyperlink" Target="https://www.dropbox.com/scl/fi/5uifyooacrz5h27d1r0el/40744.pdf?rlkey=53k2ny3re7hzyis9yrxusshdl&amp;dl=0" TargetMode="External"/><Relationship Id="rId804" Type="http://schemas.openxmlformats.org/officeDocument/2006/relationships/hyperlink" Target="https://www.dropbox.com/scl/fi/io8bx5b1bpy6xbcjrlxdn/40772.pdf?rlkey=bztegatrk55kpst628p7mg491&amp;dl=0" TargetMode="External"/><Relationship Id="rId4" Type="http://schemas.openxmlformats.org/officeDocument/2006/relationships/hyperlink" Target="https://www.dropbox.com/scl/fi/347hmlxtl5g00wop37s3q/41328.pdf?rlkey=9yad8bapbkx9i6wat1xzf97p9&amp;dl=0" TargetMode="External"/><Relationship Id="rId236" Type="http://schemas.openxmlformats.org/officeDocument/2006/relationships/hyperlink" Target="https://www.dropbox.com/scl/fi/lqw142e781v3g376z20ja/39465.pdf?rlkey=7zjgevjw669nmqee36xttpucw&amp;dl=0" TargetMode="External"/><Relationship Id="rId443" Type="http://schemas.openxmlformats.org/officeDocument/2006/relationships/hyperlink" Target="https://www.dropbox.com/scl/fi/i7n7837nzurdhf55wc5mz/39992.pdf?rlkey=fynez6k0o6mnweq4kr6toe1x7&amp;dl=0" TargetMode="External"/><Relationship Id="rId650" Type="http://schemas.openxmlformats.org/officeDocument/2006/relationships/hyperlink" Target="https://www.dropbox.com/scl/fi/jd6parz1dozuyy6yud9px/40373.pdf?rlkey=8fhhdmz5nz90ef14bqkd4mc5x&amp;dl=0" TargetMode="External"/><Relationship Id="rId888" Type="http://schemas.openxmlformats.org/officeDocument/2006/relationships/hyperlink" Target="https://www.dropbox.com/scl/fi/7yjjemosc421t45pnea8o/41447.pdf?rlkey=bn2bton6datmi3k72yutyd99s&amp;dl=0" TargetMode="External"/><Relationship Id="rId303" Type="http://schemas.openxmlformats.org/officeDocument/2006/relationships/hyperlink" Target="https://www.dropbox.com/scl/fi/91ujhla46igx6qwv8itct/39635.pdf?rlkey=gqrivttl4qg9abed1ze8zf5c2&amp;dl=0" TargetMode="External"/><Relationship Id="rId748" Type="http://schemas.openxmlformats.org/officeDocument/2006/relationships/hyperlink" Target="https://www.dropbox.com/scl/fi/bilzekiu4jw11aqnf30ex/40541.pdf?rlkey=zljwtumf0lm8o52x8bt65x5gw&amp;dl=0" TargetMode="External"/><Relationship Id="rId955" Type="http://schemas.openxmlformats.org/officeDocument/2006/relationships/hyperlink" Target="https://www.dropbox.com/scl/fi/nsf3g9bzvyv6f6t1ad2n7/41573.pdf?rlkey=e7pk6dgccwtyrfb9n16lmawl4&amp;dl=0" TargetMode="External"/><Relationship Id="rId84" Type="http://schemas.openxmlformats.org/officeDocument/2006/relationships/hyperlink" Target="https://www.dropbox.com/scl/fi/4wy1ueu6ncaljwkkrkxx9/41363.pdf?rlkey=3lpnmvxao5g12r6vnnk7mxs74&amp;dl=0" TargetMode="External"/><Relationship Id="rId387" Type="http://schemas.openxmlformats.org/officeDocument/2006/relationships/hyperlink" Target="https://www.dropbox.com/scl/fi/ven704bfm1izgqef11eet/39857.pdf?rlkey=bai9eizc6ij6on27syiozk960&amp;dl=0" TargetMode="External"/><Relationship Id="rId510" Type="http://schemas.openxmlformats.org/officeDocument/2006/relationships/hyperlink" Target="https://www.dropbox.com/scl/fi/33qf934838cml5eqcaiym/40130.pdf?rlkey=aunu38h3wcothwosi3bbajmr2&amp;dl=0" TargetMode="External"/><Relationship Id="rId594" Type="http://schemas.openxmlformats.org/officeDocument/2006/relationships/hyperlink" Target="https://www.dropbox.com/scl/fi/9lztn5hitwvp6ekv7dt1l/40287.pdf?rlkey=wq9zwaytj34nj95qfuidnoniq&amp;dl=0" TargetMode="External"/><Relationship Id="rId608" Type="http://schemas.openxmlformats.org/officeDocument/2006/relationships/hyperlink" Target="https://www.dropbox.com/scl/fi/9scmf15wfyspahpg5p575/40305.pdf?rlkey=6jadym6tqe509soav04n9l9s8&amp;dl=0" TargetMode="External"/><Relationship Id="rId815" Type="http://schemas.openxmlformats.org/officeDocument/2006/relationships/hyperlink" Target="https://www.dropbox.com/scl/fi/m6pihbr0p4qmkrn9k9q9k/40796.pdf?rlkey=gmnez4g45s9031qldq6lw1pep&amp;dl=0" TargetMode="External"/><Relationship Id="rId247" Type="http://schemas.openxmlformats.org/officeDocument/2006/relationships/hyperlink" Target="https://www.dropbox.com/scl/fi/ek2hgoer6g4qlvmzz08od/39483.pdf?rlkey=hwr7ygxa9cm1kdif9mtenmfzj&amp;dl=0" TargetMode="External"/><Relationship Id="rId899" Type="http://schemas.openxmlformats.org/officeDocument/2006/relationships/hyperlink" Target="https://www.dropbox.com/scl/fi/3l8q20bf5xey08tcczf09/41462.pdf?rlkey=mt2wed5omg0ihq8o38816x3gc&amp;dl=0" TargetMode="External"/><Relationship Id="rId1000" Type="http://schemas.openxmlformats.org/officeDocument/2006/relationships/hyperlink" Target="https://www.dropbox.com/scl/fi/n5pj72wfy059rjyzdicw5/41681.pdf?rlkey=gos4bgnux4ys8dcnxgfp4thlw&amp;dl=0" TargetMode="External"/><Relationship Id="rId107" Type="http://schemas.openxmlformats.org/officeDocument/2006/relationships/hyperlink" Target="https://www.dropbox.com/scl/fi/2fe09k3cd4zjylgfhedi8/40968.pdf?rlkey=i491al6gksxc3qmfhzb1ap4g8&amp;dl=0" TargetMode="External"/><Relationship Id="rId454" Type="http://schemas.openxmlformats.org/officeDocument/2006/relationships/hyperlink" Target="https://www.dropbox.com/scl/fi/ix4nx2dmngrj9nv8p4wzc/40009.pdf?rlkey=hrm7jimurg1anr59hgbh8eq6h&amp;dl=0" TargetMode="External"/><Relationship Id="rId661" Type="http://schemas.openxmlformats.org/officeDocument/2006/relationships/hyperlink" Target="https://www.dropbox.com/scl/fi/r84zb2yx45yzl4hpjo8bn/40399.pdf?rlkey=3csoto5z6fzd4tl19b1a9xstt&amp;dl=0" TargetMode="External"/><Relationship Id="rId759" Type="http://schemas.openxmlformats.org/officeDocument/2006/relationships/hyperlink" Target="https://www.dropbox.com/scl/fi/zm5jdtn9cghgraejingpk/40699.pdf?rlkey=olfge6nmux648yrt0n9oke0lm&amp;dl=0" TargetMode="External"/><Relationship Id="rId966" Type="http://schemas.openxmlformats.org/officeDocument/2006/relationships/hyperlink" Target="https://www.dropbox.com/scl/fi/voxq4s47kpn19cdnuclpa/41588.pdf?rlkey=pvbdo1iqn2mgvdvim9xhgfbom&amp;dl=0" TargetMode="External"/><Relationship Id="rId11" Type="http://schemas.openxmlformats.org/officeDocument/2006/relationships/hyperlink" Target="https://www.dropbox.com/scl/fi/svhfur6y30t3w6kf21je1/41018.pdf?rlkey=7fereb88t2y7n6yf0e6voydpo&amp;dl=0" TargetMode="External"/><Relationship Id="rId314" Type="http://schemas.openxmlformats.org/officeDocument/2006/relationships/hyperlink" Target="https://www.dropbox.com/scl/fi/zhqqvkehbze14xqenmkw8/39670.pdf?rlkey=ws0rxgpoc38shdmri6u8kzr5a&amp;dl=0" TargetMode="External"/><Relationship Id="rId398" Type="http://schemas.openxmlformats.org/officeDocument/2006/relationships/hyperlink" Target="https://www.dropbox.com/scl/fi/ij0xlgjkhwhnrej32byys/39880.pdf?rlkey=l2we31kurcjw7ynzu71iammp9&amp;dl=0" TargetMode="External"/><Relationship Id="rId521" Type="http://schemas.openxmlformats.org/officeDocument/2006/relationships/hyperlink" Target="https://www.dropbox.com/scl/fi/7kbfzeokfpuchjz6u7ejl/40165.pdf?rlkey=bv1tzvo6gncn2c46u5ezt6d9c&amp;dl=0" TargetMode="External"/><Relationship Id="rId619" Type="http://schemas.openxmlformats.org/officeDocument/2006/relationships/hyperlink" Target="https://www.dropbox.com/scl/fi/nhggd47inyqelapfzu4r7/40320.pdf?rlkey=fexib9nhujdfz5uvdyj24oys0&amp;dl=0" TargetMode="External"/><Relationship Id="rId95" Type="http://schemas.openxmlformats.org/officeDocument/2006/relationships/hyperlink" Target="https://www.dropbox.com/scl/fi/4vg3j9j25638okhcjjj4a/40119.pdf?rlkey=gxgxhz54p33rk7lygwkelr3dp&amp;dl=0" TargetMode="External"/><Relationship Id="rId160" Type="http://schemas.openxmlformats.org/officeDocument/2006/relationships/hyperlink" Target="https://www.dropbox.com/scl/fi/2t79kw867j03x5tane00v/41180.pdf?rlkey=cmuodxbsnr30hzzdg6pvsg80x&amp;dl=0" TargetMode="External"/><Relationship Id="rId826" Type="http://schemas.openxmlformats.org/officeDocument/2006/relationships/hyperlink" Target="https://www.dropbox.com/scl/fi/onwj5k0ye1jnrskreoj23/40865.pdf?rlkey=ho2fzrer9w1o5adlg0a4sap45&amp;dl=0" TargetMode="External"/><Relationship Id="rId258" Type="http://schemas.openxmlformats.org/officeDocument/2006/relationships/hyperlink" Target="https://www.dropbox.com/scl/fi/z3z5s9my9vrq3al1l94hg/39527.pdf?rlkey=uat27qppx1jxrbp2ays2n4scx&amp;dl=0" TargetMode="External"/><Relationship Id="rId465" Type="http://schemas.openxmlformats.org/officeDocument/2006/relationships/hyperlink" Target="https://www.dropbox.com/scl/fi/4iz5n1e8wnczh6eg20k3q/40038.pdf?rlkey=9qvjrhwbel53dhubn12nqlpeb&amp;dl=0" TargetMode="External"/><Relationship Id="rId672" Type="http://schemas.openxmlformats.org/officeDocument/2006/relationships/hyperlink" Target="https://www.dropbox.com/scl/fi/76ra95fv1mo32tm9rp67q/40422.pdf?rlkey=nkr0xebafjrj41yr6k2e5nzmn&amp;dl=0" TargetMode="External"/><Relationship Id="rId22" Type="http://schemas.openxmlformats.org/officeDocument/2006/relationships/hyperlink" Target="https://www.dropbox.com/scl/fi/h0risoue26mes1b2mmoka/40977.pdf?rlkey=ajl9kiy42zstf20f9y3s6ypi6&amp;dl=0" TargetMode="External"/><Relationship Id="rId118" Type="http://schemas.openxmlformats.org/officeDocument/2006/relationships/hyperlink" Target="https://www.dropbox.com/scl/fi/l666r4hsa4pl21ik3rceg/41016.pdf?rlkey=vomp1q6n8jkqvw419m3feydu5&amp;dl=0" TargetMode="External"/><Relationship Id="rId325" Type="http://schemas.openxmlformats.org/officeDocument/2006/relationships/hyperlink" Target="https://www.dropbox.com/scl/fi/nri3cxqvwvddrrzxc4zbh/39720.pdf?rlkey=g076g51gvzda0b0t2ytlkzfjw&amp;dl=0" TargetMode="External"/><Relationship Id="rId532" Type="http://schemas.openxmlformats.org/officeDocument/2006/relationships/hyperlink" Target="https://www.dropbox.com/scl/fi/6uppf3u3grp6h099ul9p3/40184.pdf?rlkey=a0n7wkyxljo5eim9o5fnd1gm7&amp;dl=0" TargetMode="External"/><Relationship Id="rId977" Type="http://schemas.openxmlformats.org/officeDocument/2006/relationships/hyperlink" Target="https://www.dropbox.com/scl/fi/ghpp8b30xx7xd3k27ywyf/41629.pdf?rlkey=ilqgqws6jxt7827sh4aor9dry&amp;dl=0" TargetMode="External"/><Relationship Id="rId171" Type="http://schemas.openxmlformats.org/officeDocument/2006/relationships/hyperlink" Target="https://www.dropbox.com/scl/fi/1jj4g1zai11zn9ic7qaiw/41213.pdf?rlkey=vpoai9ebc5ycnu8qejfg2ut6m&amp;dl=0" TargetMode="External"/><Relationship Id="rId837" Type="http://schemas.openxmlformats.org/officeDocument/2006/relationships/hyperlink" Target="https://www.dropbox.com/scl/fi/qd40mzek4r6m3v0lopen7/40916.pdf?rlkey=cdn0a1kcbou4asxj2rwvv9nrb&amp;dl=0" TargetMode="External"/><Relationship Id="rId269" Type="http://schemas.openxmlformats.org/officeDocument/2006/relationships/hyperlink" Target="https://www.dropbox.com/scl/fi/q3ht7440qavvmu5v0g9i9/39564.pdf?rlkey=yuktbd4jq6k9fsy19kx66xu96&amp;dl=0" TargetMode="External"/><Relationship Id="rId476" Type="http://schemas.openxmlformats.org/officeDocument/2006/relationships/hyperlink" Target="https://www.dropbox.com/scl/fi/fdmtlnlygw8odvjzmv1ku/40055.pdf?rlkey=vx3y2r3szh4do218067rrc53x&amp;dl=0" TargetMode="External"/><Relationship Id="rId683" Type="http://schemas.openxmlformats.org/officeDocument/2006/relationships/hyperlink" Target="https://www.dropbox.com/scl/fi/toidgoduvh8uulkiwh42e/40439.pdf?rlkey=wl43myp90by2js491dnsdg5d7&amp;dl=0" TargetMode="External"/><Relationship Id="rId890" Type="http://schemas.openxmlformats.org/officeDocument/2006/relationships/hyperlink" Target="https://www.dropbox.com/scl/fi/q5qbchx2atrrly1rjrz4d/41449.pdf?rlkey=wm4sauomrd0p7ykvq7d7m5li4&amp;dl=0" TargetMode="External"/><Relationship Id="rId904" Type="http://schemas.openxmlformats.org/officeDocument/2006/relationships/hyperlink" Target="https://www.dropbox.com/scl/fi/qgoy1qf9vk76tv86n8xt4/41469.pdf?rlkey=pwvm1qn1q90cg45euigts97nm&amp;dl=0" TargetMode="External"/><Relationship Id="rId33" Type="http://schemas.openxmlformats.org/officeDocument/2006/relationships/hyperlink" Target="https://www.dropbox.com/scl/fi/22ldmt1i1sxxpejhvh4fo/41311.pdf?rlkey=g12nebty24rx31vgel7etlso4&amp;dl=0" TargetMode="External"/><Relationship Id="rId129" Type="http://schemas.openxmlformats.org/officeDocument/2006/relationships/hyperlink" Target="https://www.dropbox.com/scl/fi/yfvh1fyx9nznc72z9pjmd/41061.pdf?rlkey=lv6dr6k4nmpd42r8bcymy71h5&amp;dl=0" TargetMode="External"/><Relationship Id="rId336" Type="http://schemas.openxmlformats.org/officeDocument/2006/relationships/hyperlink" Target="https://www.dropbox.com/scl/fi/ny3rhwisqx13ainirchmi/39736.pdf?rlkey=rfjdo7q0wm1dwoelzwmsxis34&amp;dl=0" TargetMode="External"/><Relationship Id="rId543" Type="http://schemas.openxmlformats.org/officeDocument/2006/relationships/hyperlink" Target="https://www.dropbox.com/scl/fi/ze73pi61ujgo13uj8lt7q/40201.pdf?rlkey=dapjlt390dxz7nusfq3co4yc8&amp;dl=0" TargetMode="External"/><Relationship Id="rId988" Type="http://schemas.openxmlformats.org/officeDocument/2006/relationships/hyperlink" Target="https://www.dropbox.com/scl/fi/o42tin4dte965b6adufn4/41656.pdf?rlkey=pgvk574tlp0okbrilynshuqjs&amp;dl=0" TargetMode="External"/><Relationship Id="rId182" Type="http://schemas.openxmlformats.org/officeDocument/2006/relationships/hyperlink" Target="https://www.dropbox.com/scl/fi/0h7xke3316cdkzcrx5h2h/41279.pdf?rlkey=04ke3661czv15imfd346o4kcc&amp;dl=0" TargetMode="External"/><Relationship Id="rId403" Type="http://schemas.openxmlformats.org/officeDocument/2006/relationships/hyperlink" Target="https://www.dropbox.com/scl/fi/vo7xyipoz6c2nctuue3j3/39893.pdf?rlkey=7x2qe79ev369o52jblwui3x2a&amp;dl=0" TargetMode="External"/><Relationship Id="rId750" Type="http://schemas.openxmlformats.org/officeDocument/2006/relationships/hyperlink" Target="https://www.dropbox.com/scl/fi/ohbc8bkjsebw3bycbn6zp/40543.pdf?rlkey=875mu1wm6rf8ul92bu1w16pmy&amp;dl=0" TargetMode="External"/><Relationship Id="rId848" Type="http://schemas.openxmlformats.org/officeDocument/2006/relationships/hyperlink" Target="https://www.dropbox.com/scl/fi/7983dkz1uahx4ll8fanpk/40962.pdf?rlkey=fvjsua9ube5i2urw9ssya36xc&amp;dl=0" TargetMode="External"/><Relationship Id="rId487" Type="http://schemas.openxmlformats.org/officeDocument/2006/relationships/hyperlink" Target="https://www.dropbox.com/scl/fi/qb84skxz6x34ctn80gf7r/40067.pdf?rlkey=nvpolg9s5a414qqa81veqzy3h&amp;dl=0" TargetMode="External"/><Relationship Id="rId610" Type="http://schemas.openxmlformats.org/officeDocument/2006/relationships/hyperlink" Target="https://www.dropbox.com/scl/fi/0qtufdqwtrt60fzpdshdv/40308.pdf?rlkey=4g0st7s5tgp4rwia9rj1zstfm&amp;dl=0" TargetMode="External"/><Relationship Id="rId694" Type="http://schemas.openxmlformats.org/officeDocument/2006/relationships/hyperlink" Target="https://www.dropbox.com/scl/fi/udwzg69ra7wrezv9ax6ax/40456.pdf?rlkey=sv8dix1mszmf0tz5jmy9v53af&amp;dl=0" TargetMode="External"/><Relationship Id="rId708" Type="http://schemas.openxmlformats.org/officeDocument/2006/relationships/hyperlink" Target="https://www.dropbox.com/scl/fi/p8q2iowrx4gjxcw4lms8r/40478.pdf?rlkey=0jpajsjc4oz8e16l9s636vrix&amp;dl=0" TargetMode="External"/><Relationship Id="rId915" Type="http://schemas.openxmlformats.org/officeDocument/2006/relationships/hyperlink" Target="https://www.dropbox.com/scl/fi/18309jpk27lqolc6avwae/41484.pdf?rlkey=hc98c2scsnfti7ykv0csq0dgh&amp;dl=0" TargetMode="External"/><Relationship Id="rId347" Type="http://schemas.openxmlformats.org/officeDocument/2006/relationships/hyperlink" Target="https://www.dropbox.com/scl/fi/fvpyed38bfeklc1xlc6tf/39750.pdf?rlkey=2icyuvxt0zdpsylh6icbiqhes&amp;dl=0" TargetMode="External"/><Relationship Id="rId999" Type="http://schemas.openxmlformats.org/officeDocument/2006/relationships/hyperlink" Target="https://www.dropbox.com/scl/fi/w43l0ocm6op86e2iegwr5/41678.pdf?rlkey=u5gm4yqesspannx0df7pbzwuq&amp;dl=0" TargetMode="External"/><Relationship Id="rId44" Type="http://schemas.openxmlformats.org/officeDocument/2006/relationships/hyperlink" Target="https://www.dropbox.com/scl/fi/9taewcdk5bz23a3937xsq/41109.pdf?rlkey=er17thbfm61gm1s6i5fx3soxn&amp;dl=0" TargetMode="External"/><Relationship Id="rId554" Type="http://schemas.openxmlformats.org/officeDocument/2006/relationships/hyperlink" Target="https://www.dropbox.com/scl/fi/41nm7a6vioig0k9j6su9k/40214.pdf?rlkey=p5wvxc9jukm0srjot6hn7hsgw&amp;dl=0" TargetMode="External"/><Relationship Id="rId761" Type="http://schemas.openxmlformats.org/officeDocument/2006/relationships/hyperlink" Target="https://www.dropbox.com/scl/fi/2ahc93cox05t0lxthywdd/40704.pdf?rlkey=5l5hmg1azw38315mfbkoleq57&amp;dl=0" TargetMode="External"/><Relationship Id="rId859" Type="http://schemas.openxmlformats.org/officeDocument/2006/relationships/hyperlink" Target="https://www.dropbox.com/scl/fi/52tn9krd10kcpwzde8g81/41398.pdf?rlkey=vobxctd3z0ts07xbghcjmtl2x&amp;dl=0" TargetMode="External"/><Relationship Id="rId193" Type="http://schemas.openxmlformats.org/officeDocument/2006/relationships/hyperlink" Target="https://www.dropbox.com/scl/fi/hm6h05tc3ato4etbsi4vt/41352.pdf?rlkey=2oxdkjnw1ezr81bcuf6kqmsr6&amp;dl=0" TargetMode="External"/><Relationship Id="rId207" Type="http://schemas.openxmlformats.org/officeDocument/2006/relationships/hyperlink" Target="https://www.dropbox.com/scl/fi/4xei0td32qtk31wj6crpn/41373.pdf?rlkey=veegwxiavt4ogb27tkw2ez1jw&amp;dl=0" TargetMode="External"/><Relationship Id="rId414" Type="http://schemas.openxmlformats.org/officeDocument/2006/relationships/hyperlink" Target="https://www.dropbox.com/scl/fi/jlssvm94wjzhotw6nw5xl/39925.pdf?rlkey=bwu3y5vr2o7i7el2ik9wlr2v0&amp;dl=0" TargetMode="External"/><Relationship Id="rId498" Type="http://schemas.openxmlformats.org/officeDocument/2006/relationships/hyperlink" Target="https://www.dropbox.com/scl/fi/wii3wsehzrcumvrywoz7l/40111.pdf?rlkey=x0dc3to2xqkrsh6sdnokqsx9m&amp;dl=0" TargetMode="External"/><Relationship Id="rId621" Type="http://schemas.openxmlformats.org/officeDocument/2006/relationships/hyperlink" Target="https://www.dropbox.com/scl/fi/swrqp4s0puodpgzwbbiwc/40322.pdf?rlkey=hwg1zvg1vd6xrez4rai9np1wl&amp;dl=0" TargetMode="External"/><Relationship Id="rId260" Type="http://schemas.openxmlformats.org/officeDocument/2006/relationships/hyperlink" Target="https://www.dropbox.com/scl/fi/t9r2iwofgrj1xbctlmmhj/39529.pdf?rlkey=8t64rdruvbp2q6hhgjekrcnad&amp;dl=0" TargetMode="External"/><Relationship Id="rId719" Type="http://schemas.openxmlformats.org/officeDocument/2006/relationships/hyperlink" Target="https://www.dropbox.com/scl/fi/v9lauplmu5egvglzj3s8m/40498.pdf?rlkey=gz6iafrh1wml36lx37eecaot8&amp;dl=0" TargetMode="External"/><Relationship Id="rId926" Type="http://schemas.openxmlformats.org/officeDocument/2006/relationships/hyperlink" Target="https://www.dropbox.com/scl/fi/ncivusb2hnrt0wsuzuqym/41501.pdf?rlkey=z5stf3csv3geu31uxrz43wqq0&amp;dl=0" TargetMode="External"/><Relationship Id="rId55" Type="http://schemas.openxmlformats.org/officeDocument/2006/relationships/hyperlink" Target="https://www.dropbox.com/scl/fi/ou2rlemcx79ppdi33x1sb/41184.pdf?rlkey=7g3fkw46yik4zjvtmimrj26oo&amp;dl=0" TargetMode="External"/><Relationship Id="rId120" Type="http://schemas.openxmlformats.org/officeDocument/2006/relationships/hyperlink" Target="https://www.dropbox.com/scl/fi/p74pcd3thitgmd9u4ph62/41027.pdf?rlkey=mam4jv6oals2cpfu9rl5aj8b6&amp;dl=0" TargetMode="External"/><Relationship Id="rId358" Type="http://schemas.openxmlformats.org/officeDocument/2006/relationships/hyperlink" Target="https://www.dropbox.com/scl/fi/yq6xtc2rzlmqljelqy6ev/39787.pdf?rlkey=w9wz8s2ocyabitvcpe2so59zz&amp;dl=0" TargetMode="External"/><Relationship Id="rId565" Type="http://schemas.openxmlformats.org/officeDocument/2006/relationships/hyperlink" Target="https://www.dropbox.com/scl/fi/q5znhbchehq9f7syn2m3p/40226.pdf?rlkey=rm1hxy8fmpi6wo3tkyeafeojo&amp;dl=0" TargetMode="External"/><Relationship Id="rId772" Type="http://schemas.openxmlformats.org/officeDocument/2006/relationships/hyperlink" Target="https://www.dropbox.com/scl/fi/9i0zrtxnsv7vf5hasmbws/40718.pdf?rlkey=ibo1etpsbp25z0slg9teeovom&amp;dl=0" TargetMode="External"/><Relationship Id="rId218" Type="http://schemas.openxmlformats.org/officeDocument/2006/relationships/hyperlink" Target="https://www.dropbox.com/scl/fi/uthalj7sgsud80hrw1iir/39368.pdf?rlkey=qxqogcshxnvmy3pf0wkvwcpps&amp;dl=0" TargetMode="External"/><Relationship Id="rId425" Type="http://schemas.openxmlformats.org/officeDocument/2006/relationships/hyperlink" Target="https://www.dropbox.com/scl/fi/7dvinrcetgaqzt5clny01/39949.pdf?rlkey=bxs14okgfvyzfj8f8uh3nb6yy&amp;dl=0" TargetMode="External"/><Relationship Id="rId632" Type="http://schemas.openxmlformats.org/officeDocument/2006/relationships/hyperlink" Target="https://www.dropbox.com/scl/fi/7745sda1evuyn4xqlqse6/40341.pdf?rlkey=cx9ba8m4uawci9kz3p0wae08y&amp;dl=0" TargetMode="External"/><Relationship Id="rId271" Type="http://schemas.openxmlformats.org/officeDocument/2006/relationships/hyperlink" Target="https://www.dropbox.com/scl/fi/453kgb3lvrcfutisuv61m/39566.pdf?rlkey=veew3rv7q6lehmwtj86b6qval&amp;dl=0" TargetMode="External"/><Relationship Id="rId937" Type="http://schemas.openxmlformats.org/officeDocument/2006/relationships/hyperlink" Target="https://www.dropbox.com/scl/fi/xz8s04fjiipex4s51tzl3/41520.pdf?rlkey=rlr4nifvd0mjg32ubarb8fftr&amp;dl=0" TargetMode="External"/><Relationship Id="rId66" Type="http://schemas.openxmlformats.org/officeDocument/2006/relationships/hyperlink" Target="https://www.dropbox.com/scl/fi/055cfhbi36dhr964sk2l2/41092.pdf?rlkey=4tfd67euthkt2k3fozcezd1am&amp;dl=0" TargetMode="External"/><Relationship Id="rId131" Type="http://schemas.openxmlformats.org/officeDocument/2006/relationships/hyperlink" Target="https://www.dropbox.com/scl/fi/ysz8djjzrfkm2r4kar3go/41086.pdf?rlkey=2s0z9tv7sma4dhn0whug9d8cn&amp;dl=0" TargetMode="External"/><Relationship Id="rId369" Type="http://schemas.openxmlformats.org/officeDocument/2006/relationships/hyperlink" Target="https://www.dropbox.com/scl/fi/y2lf33nkj0ely7esb934c/39807.pdf?rlkey=favaq7lr2bjjuzdekk2mkyc59&amp;dl=0" TargetMode="External"/><Relationship Id="rId576" Type="http://schemas.openxmlformats.org/officeDocument/2006/relationships/hyperlink" Target="https://www.dropbox.com/scl/fi/apvpkkhwx9njxr4som96c/40238.pdf?rlkey=jkpd185cq9osdqjt33lhqrcat&amp;dl=0" TargetMode="External"/><Relationship Id="rId783" Type="http://schemas.openxmlformats.org/officeDocument/2006/relationships/hyperlink" Target="https://www.dropbox.com/scl/fi/4a2ot7amxbwmhzjjyvei0/40737.pdf?rlkey=02frh496ujuqsaufitz3a1zcp&amp;dl=0" TargetMode="External"/><Relationship Id="rId990" Type="http://schemas.openxmlformats.org/officeDocument/2006/relationships/hyperlink" Target="https://www.dropbox.com/scl/fi/hyinlyfgoxc6wm6ypap5x/41660.pdf?rlkey=wnc1v4sxgeue7p11497wu5ny2&amp;dl=0" TargetMode="External"/><Relationship Id="rId229" Type="http://schemas.openxmlformats.org/officeDocument/2006/relationships/hyperlink" Target="https://www.dropbox.com/scl/fi/w2h3iowh6ccg03qa8pd7e/39440.pdf?rlkey=5acp2jw9eq51k2j4jdm02m6s4&amp;dl=0" TargetMode="External"/><Relationship Id="rId436" Type="http://schemas.openxmlformats.org/officeDocument/2006/relationships/hyperlink" Target="https://www.dropbox.com/scl/fi/x3jjklag6jhlboqcr625e/39967.pdf?rlkey=ym7bueo4ppok05iwr464lk358&amp;dl=0" TargetMode="External"/><Relationship Id="rId643" Type="http://schemas.openxmlformats.org/officeDocument/2006/relationships/hyperlink" Target="https://www.dropbox.com/scl/fi/wrcccu2d692309j4zwhyx/40365.pdf?rlkey=ddh1d9y4f4d5l2guono0kzjf6&amp;dl=0" TargetMode="External"/><Relationship Id="rId850" Type="http://schemas.openxmlformats.org/officeDocument/2006/relationships/hyperlink" Target="https://www.dropbox.com/scl/fi/fplixii7xmq0ts1inc9j2/41017.pdf?rlkey=r4us6unf2qrdu50bsl8kc6dcy&amp;dl=0" TargetMode="External"/><Relationship Id="rId948" Type="http://schemas.openxmlformats.org/officeDocument/2006/relationships/hyperlink" Target="https://www.dropbox.com/scl/fi/6g1x5jmfbmhyno0uw52rb/41551.pdf?rlkey=zm8jyquvwkt3giiw07z854gfg&amp;dl=0" TargetMode="External"/><Relationship Id="rId77" Type="http://schemas.openxmlformats.org/officeDocument/2006/relationships/hyperlink" Target="https://www.dropbox.com/scl/fi/dqtvew7s3yf0unyslqi8q/41255.pdf?rlkey=k6ltkazdqgst3cqxyiw8dsads&amp;dl=0" TargetMode="External"/><Relationship Id="rId282" Type="http://schemas.openxmlformats.org/officeDocument/2006/relationships/hyperlink" Target="https://www.dropbox.com/scl/fi/cp35jsuorzndd0w1hgg3v/39602.pdf?rlkey=q0v6r5mrf6qc77kmipya56u1t&amp;dl=0" TargetMode="External"/><Relationship Id="rId503" Type="http://schemas.openxmlformats.org/officeDocument/2006/relationships/hyperlink" Target="https://www.dropbox.com/scl/fi/9ppmrpqfbcocaf7he4fzy/40123.pdf?rlkey=z6ulm70tce4t884bh6vx6hz7x&amp;dl=0" TargetMode="External"/><Relationship Id="rId587" Type="http://schemas.openxmlformats.org/officeDocument/2006/relationships/hyperlink" Target="https://www.dropbox.com/scl/fi/0ub8zzgvekpfn5aeaoheo/40277.pdf?rlkey=nodiuvtvsgdcpf0td96zsc0wq&amp;dl=0" TargetMode="External"/><Relationship Id="rId710" Type="http://schemas.openxmlformats.org/officeDocument/2006/relationships/hyperlink" Target="https://www.dropbox.com/scl/fi/kgte9t0wuf2dabozhhauj/40482.pdf?rlkey=fljb5q1i5y1unqo2rp4bdc1kh&amp;dl=0" TargetMode="External"/><Relationship Id="rId808" Type="http://schemas.openxmlformats.org/officeDocument/2006/relationships/hyperlink" Target="https://www.dropbox.com/scl/fi/gsi5mde42k7xp6xa5b6ja/40783.pdf?rlkey=hps535zk5b1mfuk787pb9rcf2&amp;dl=0" TargetMode="External"/><Relationship Id="rId8" Type="http://schemas.openxmlformats.org/officeDocument/2006/relationships/hyperlink" Target="https://www.dropbox.com/scl/fi/bnbho8kia6iucrvtx0fsj/40291.pdf?rlkey=7i7zym28rddqhf10lfnmh3jdi&amp;dl=0" TargetMode="External"/><Relationship Id="rId142" Type="http://schemas.openxmlformats.org/officeDocument/2006/relationships/hyperlink" Target="https://www.dropbox.com/scl/fi/92omu5g2mhjmm7lh4q25k/41122.pdf?rlkey=74py1sif5biww5tfrq0eg27ei&amp;dl=0" TargetMode="External"/><Relationship Id="rId447" Type="http://schemas.openxmlformats.org/officeDocument/2006/relationships/hyperlink" Target="https://www.dropbox.com/scl/fi/5zvs7i6q6fcirxrdec70s/39996.pdf?rlkey=ev3x3c7nuyla86a92r5m3y21l&amp;dl=0" TargetMode="External"/><Relationship Id="rId794" Type="http://schemas.openxmlformats.org/officeDocument/2006/relationships/hyperlink" Target="https://www.dropbox.com/scl/fi/9lecsprn0i4ncp48ey0ar/40748.pdf?rlkey=orpspobn2dp5d19aq46xh4kl3&amp;dl=0" TargetMode="External"/><Relationship Id="rId654" Type="http://schemas.openxmlformats.org/officeDocument/2006/relationships/hyperlink" Target="https://www.dropbox.com/scl/fi/ue4jdntgl37k22itjh7cr/40378.pdf?rlkey=0g1ih4n86i2yqv06zm5f4dni9&amp;dl=0" TargetMode="External"/><Relationship Id="rId861" Type="http://schemas.openxmlformats.org/officeDocument/2006/relationships/hyperlink" Target="https://www.dropbox.com/scl/fi/neiidlyo5ukt85t6su1bx/41401.pdf?rlkey=29zufdv3hp0s8za0twf5cnaif&amp;dl=0" TargetMode="External"/><Relationship Id="rId959" Type="http://schemas.openxmlformats.org/officeDocument/2006/relationships/hyperlink" Target="https://www.dropbox.com/scl/fi/ogcnewbafvetqupwntj0e/41578.pdf?rlkey=2rhurrs9a0c7u5a56uf64wmkp&amp;dl=0" TargetMode="External"/><Relationship Id="rId293" Type="http://schemas.openxmlformats.org/officeDocument/2006/relationships/hyperlink" Target="https://www.dropbox.com/scl/fi/b4du4n2dbj7bc04rwwp1d/39620.pdf?rlkey=459q1zqytklcl3smye4ognrcg&amp;dl=0" TargetMode="External"/><Relationship Id="rId307" Type="http://schemas.openxmlformats.org/officeDocument/2006/relationships/hyperlink" Target="https://www.dropbox.com/scl/fi/v1iqf0v888w59527o4gdp/39651.pdf?rlkey=r8w7o8i190fblw0ee3ro4nftb&amp;dl=0" TargetMode="External"/><Relationship Id="rId514" Type="http://schemas.openxmlformats.org/officeDocument/2006/relationships/hyperlink" Target="https://www.dropbox.com/scl/fi/v17tegms8dycqamxk5ngt/40145.pdf?rlkey=rluwbzw276yq8ilzwfhmz47vh&amp;dl=0" TargetMode="External"/><Relationship Id="rId721" Type="http://schemas.openxmlformats.org/officeDocument/2006/relationships/hyperlink" Target="https://www.dropbox.com/scl/fi/hhl2awjyz9cfcryd5lnfo/40502.pdf?rlkey=wllhwuq3qf7yayuhvlpzyssll&amp;dl=0" TargetMode="External"/><Relationship Id="rId88" Type="http://schemas.openxmlformats.org/officeDocument/2006/relationships/hyperlink" Target="https://www.dropbox.com/scl/fi/qz642yoawqw0larbpz0my/41382.pdf?rlkey=4qhb05wzqjt14a36c7d0bu4ag&amp;dl=0" TargetMode="External"/><Relationship Id="rId153" Type="http://schemas.openxmlformats.org/officeDocument/2006/relationships/hyperlink" Target="https://www.dropbox.com/scl/fi/4ir1lu1yl8wq8myddvrfh/41163.pdf?rlkey=mc971y6my15sy2hgryt4n7jeu&amp;dl=0" TargetMode="External"/><Relationship Id="rId360" Type="http://schemas.openxmlformats.org/officeDocument/2006/relationships/hyperlink" Target="https://www.dropbox.com/scl/fi/vfxrmznnv07gf7ze136qk/39790.pdf?rlkey=yovx6wp23427peruugqwmjjmf&amp;dl=0" TargetMode="External"/><Relationship Id="rId598" Type="http://schemas.openxmlformats.org/officeDocument/2006/relationships/hyperlink" Target="https://www.dropbox.com/scl/fi/46iaciwm3gr17toea837g/40292.pdf?rlkey=tg557w2bxp3lyninu3xx8qni9&amp;dl=0" TargetMode="External"/><Relationship Id="rId819" Type="http://schemas.openxmlformats.org/officeDocument/2006/relationships/hyperlink" Target="https://www.dropbox.com/scl/fi/aw2ldfui5rrhm61ax6oku/40833.pdf?rlkey=nhl6l1mpqwir133wocgevf9lk&amp;dl=0" TargetMode="External"/><Relationship Id="rId1004" Type="http://schemas.openxmlformats.org/officeDocument/2006/relationships/hyperlink" Target="https://www.dropbox.com/scl/fi/pn9njeteve5io5c9lqij2/41696.pdf?rlkey=w88t4xfla1bdqaksiz686ipak&amp;dl=0" TargetMode="External"/><Relationship Id="rId220" Type="http://schemas.openxmlformats.org/officeDocument/2006/relationships/hyperlink" Target="https://www.dropbox.com/scl/fi/2sqj4yodx6arpaf494nle/39418.pdf?rlkey=zn17c2rwah57z4qcx9tliv4kn&amp;dl=0" TargetMode="External"/><Relationship Id="rId458" Type="http://schemas.openxmlformats.org/officeDocument/2006/relationships/hyperlink" Target="https://www.dropbox.com/scl/fi/lxka5abitdg8kdmroqqy8/40023.pdf?rlkey=nc2e5dxl43i125zy7ctv7ayro&amp;dl=0" TargetMode="External"/><Relationship Id="rId665" Type="http://schemas.openxmlformats.org/officeDocument/2006/relationships/hyperlink" Target="https://www.dropbox.com/scl/fi/81haqggf803uaw6ypv27f/40415.pdf?rlkey=ltx3po4vt1ogi81xpdvrur0sv&amp;dl=0" TargetMode="External"/><Relationship Id="rId872" Type="http://schemas.openxmlformats.org/officeDocument/2006/relationships/hyperlink" Target="https://www.dropbox.com/scl/fi/oh9ba0wp99vjciacf6lim/41419.pdf?rlkey=tl617cvk8sxegizaynr8dndkg&amp;dl=0" TargetMode="External"/><Relationship Id="rId15" Type="http://schemas.openxmlformats.org/officeDocument/2006/relationships/hyperlink" Target="https://www.dropbox.com/scl/fi/tcad2y6yovdm39rqjjice/41001.pdf?rlkey=d18e5gb7tvmeghk3uye76ruhu&amp;dl=0" TargetMode="External"/><Relationship Id="rId318" Type="http://schemas.openxmlformats.org/officeDocument/2006/relationships/hyperlink" Target="https://www.dropbox.com/scl/fi/gm1t004rj1hvl2b6009aq/39677.pdf?rlkey=pyh4wiabuodcgkj290t0qf3i7&amp;dl=0" TargetMode="External"/><Relationship Id="rId525" Type="http://schemas.openxmlformats.org/officeDocument/2006/relationships/hyperlink" Target="https://www.dropbox.com/scl/fi/98owx3p3h10h5mf5dtq3j/40175.pdf?rlkey=zcegzqp628kotnwf8issyaroh&amp;dl=0" TargetMode="External"/><Relationship Id="rId732" Type="http://schemas.openxmlformats.org/officeDocument/2006/relationships/hyperlink" Target="https://www.dropbox.com/scl/fi/20mldliv2lu5s1wp8x7kf/40513.pdf?rlkey=plxbn1uu8ep115t1wx4667qhv&amp;dl=0" TargetMode="External"/><Relationship Id="rId99" Type="http://schemas.openxmlformats.org/officeDocument/2006/relationships/hyperlink" Target="https://www.dropbox.com/scl/fi/8af0pogofec9ptj5loa6g/40701.pdf?rlkey=gk514dgn3xzoquepyi0cah7yr&amp;dl=0" TargetMode="External"/><Relationship Id="rId164" Type="http://schemas.openxmlformats.org/officeDocument/2006/relationships/hyperlink" Target="https://www.dropbox.com/scl/fi/4y3d4n3pm9gx7tqkkng7l/41197.pdf?rlkey=x645n4sc3plrhgkwismnj9jds&amp;dl=0" TargetMode="External"/><Relationship Id="rId371" Type="http://schemas.openxmlformats.org/officeDocument/2006/relationships/hyperlink" Target="https://www.dropbox.com/scl/fi/vc2f44wbsbmepucei5fsz/39809.pdf?rlkey=3uq3w5ry6h9bu904l23k24kwp&amp;dl=0" TargetMode="External"/><Relationship Id="rId469" Type="http://schemas.openxmlformats.org/officeDocument/2006/relationships/hyperlink" Target="https://www.dropbox.com/scl/fi/9kjr2wm6ox0af91ts5kiy/40044.pdf?rlkey=k707nkzg7t4y8jfjybw2j3lt3&amp;dl=0" TargetMode="External"/><Relationship Id="rId676" Type="http://schemas.openxmlformats.org/officeDocument/2006/relationships/hyperlink" Target="https://www.dropbox.com/scl/fi/iklroxj9hap7g3thrhxjv/40426.pdf?rlkey=se7w8ikvuryvl6lgn22gt910o&amp;dl=0" TargetMode="External"/><Relationship Id="rId883" Type="http://schemas.openxmlformats.org/officeDocument/2006/relationships/hyperlink" Target="https://www.dropbox.com/scl/fi/00fspt9mi550hmvv7865j/41434.pdf?rlkey=jij9chg760t4rw4knnximdlb3&amp;dl=0" TargetMode="External"/><Relationship Id="rId26" Type="http://schemas.openxmlformats.org/officeDocument/2006/relationships/hyperlink" Target="https://www.dropbox.com/scl/fi/shfbdg1fh3a8o9beq16qc/41312.pdf?rlkey=9sfkwavinigl8y5g95npj2y89&amp;dl=0" TargetMode="External"/><Relationship Id="rId231" Type="http://schemas.openxmlformats.org/officeDocument/2006/relationships/hyperlink" Target="https://www.dropbox.com/scl/fi/o0tkg7d9iq09x0fydwosa/39442.pdf?rlkey=3binc31hja3jjus1dcypu128o&amp;dl=0" TargetMode="External"/><Relationship Id="rId329" Type="http://schemas.openxmlformats.org/officeDocument/2006/relationships/hyperlink" Target="https://www.dropbox.com/scl/fi/uklk6m1ljq7ym8wkgu9nm/39724.pdf?rlkey=njqt0f9l6g31pol6noi7c3up5&amp;dl=0" TargetMode="External"/><Relationship Id="rId536" Type="http://schemas.openxmlformats.org/officeDocument/2006/relationships/hyperlink" Target="https://www.dropbox.com/scl/fi/d1eoxyijkbjme85wcth6y/40189.pdf?rlkey=zw6gds3m3xgbyel65d5jlyc57&amp;dl=0" TargetMode="External"/><Relationship Id="rId175" Type="http://schemas.openxmlformats.org/officeDocument/2006/relationships/hyperlink" Target="https://www.dropbox.com/scl/fi/1jv5fjf9w17wj9dg12dqt/41260.pdf?rlkey=ey550v3xsz18fkt2q8h8g7tzi&amp;dl=0" TargetMode="External"/><Relationship Id="rId743" Type="http://schemas.openxmlformats.org/officeDocument/2006/relationships/hyperlink" Target="https://www.dropbox.com/scl/fi/jdkn3rdmg689zrn0q8t59/40527.pdf?rlkey=bddqjpexd3ec56om17pc8ej1h&amp;dl=0" TargetMode="External"/><Relationship Id="rId950" Type="http://schemas.openxmlformats.org/officeDocument/2006/relationships/hyperlink" Target="https://www.dropbox.com/scl/fi/omc718wqaeuxtqf2j3xy3/41561.pdf?rlkey=wzh1ydge93q70fzqe640letvn&amp;dl=0" TargetMode="External"/><Relationship Id="rId382" Type="http://schemas.openxmlformats.org/officeDocument/2006/relationships/hyperlink" Target="https://www.dropbox.com/scl/fi/2hs7njq40qpl9gdjpetby/39850.pdf?rlkey=m5qclognff9ig71t4jwwgcprs&amp;dl=0" TargetMode="External"/><Relationship Id="rId603" Type="http://schemas.openxmlformats.org/officeDocument/2006/relationships/hyperlink" Target="https://www.dropbox.com/scl/fi/l8p1v2v2km4hokwk0ryyu/40297.pdf?rlkey=e71vnh6wgm51ugt4z5yxiaw1u&amp;dl=0" TargetMode="External"/><Relationship Id="rId687" Type="http://schemas.openxmlformats.org/officeDocument/2006/relationships/hyperlink" Target="https://www.dropbox.com/scl/fi/vr0winae510ug20m71lb0/40444.pdf?rlkey=zj0cnwgabf62527oplr08kxsa&amp;dl=0" TargetMode="External"/><Relationship Id="rId810" Type="http://schemas.openxmlformats.org/officeDocument/2006/relationships/hyperlink" Target="https://www.dropbox.com/scl/fi/hzt8htveh1lxw7j30b57i/40786.pdf?rlkey=q2jb8y3takr9ygsbdwe6pwl6o&amp;dl=0" TargetMode="External"/><Relationship Id="rId908" Type="http://schemas.openxmlformats.org/officeDocument/2006/relationships/hyperlink" Target="https://www.dropbox.com/scl/fi/q2hjcllglve9eajshiyw1/41474.pdf?rlkey=x9sd08oa37cjbrybq3rbf8x62&amp;dl=0" TargetMode="External"/><Relationship Id="rId242" Type="http://schemas.openxmlformats.org/officeDocument/2006/relationships/hyperlink" Target="https://www.dropbox.com/scl/fi/67nyvre9zuwwncojvu0o3/39471.pdf?rlkey=zui6c3ul3o92thckpttyv2qey&amp;dl=0" TargetMode="External"/><Relationship Id="rId894" Type="http://schemas.openxmlformats.org/officeDocument/2006/relationships/hyperlink" Target="https://www.dropbox.com/scl/fi/jkcovgs2qw3zo83sz2c8e/41457.pdf?rlkey=97t8my9gb24rj6rc5bj5vr6uf&amp;dl=0" TargetMode="External"/><Relationship Id="rId37" Type="http://schemas.openxmlformats.org/officeDocument/2006/relationships/hyperlink" Target="https://www.dropbox.com/scl/fi/oz1jqy377tafjxrwnzcp2/41107.pdf?rlkey=tz6zbyoia9b1jsfx3gpwl3lpb&amp;dl=0" TargetMode="External"/><Relationship Id="rId102" Type="http://schemas.openxmlformats.org/officeDocument/2006/relationships/hyperlink" Target="https://www.dropbox.com/scl/fi/k64d8fllufqtb7btjdfz2/40913.pdf?rlkey=7o4k0t1ukmu9jv5fh7ykef1vw&amp;dl=0" TargetMode="External"/><Relationship Id="rId547" Type="http://schemas.openxmlformats.org/officeDocument/2006/relationships/hyperlink" Target="https://www.dropbox.com/scl/fi/ocbq0vjjbxmurulvahrx6/40205.pdf?rlkey=jr86mcc9v26qj0c9odocglqek&amp;dl=0" TargetMode="External"/><Relationship Id="rId754" Type="http://schemas.openxmlformats.org/officeDocument/2006/relationships/hyperlink" Target="https://www.dropbox.com/scl/fi/xg0jgsu4cy61hhjk3h515/40547.pdf?rlkey=bd0ctq63k9kmmci6q0y1ze5w1&amp;dl=0" TargetMode="External"/><Relationship Id="rId961" Type="http://schemas.openxmlformats.org/officeDocument/2006/relationships/hyperlink" Target="https://www.dropbox.com/scl/fi/fbjpafir1f8wo9cwlafa1/41583.pdf?rlkey=spkpedb6bkcyb43x6fxebb6lr&amp;dl=0" TargetMode="External"/><Relationship Id="rId90" Type="http://schemas.openxmlformats.org/officeDocument/2006/relationships/hyperlink" Target="https://www.dropbox.com/scl/fi/3ct2hzolobxu8he8xwkxl/41162.pdf?rlkey=z42qx1slzgts16lzmriskvabh&amp;dl=0" TargetMode="External"/><Relationship Id="rId186" Type="http://schemas.openxmlformats.org/officeDocument/2006/relationships/hyperlink" Target="https://www.dropbox.com/scl/fi/gmaw23kcl99zrw0e0e0jo/41337.pdf?rlkey=an4yhw670ecn0n2kbrl96f368&amp;dl=0" TargetMode="External"/><Relationship Id="rId393" Type="http://schemas.openxmlformats.org/officeDocument/2006/relationships/hyperlink" Target="https://www.dropbox.com/scl/fi/za742cuivspm2gewhh6yu/39864.pdf?rlkey=079w2b6sapii7jgthey3dnmqh&amp;dl=0" TargetMode="External"/><Relationship Id="rId407" Type="http://schemas.openxmlformats.org/officeDocument/2006/relationships/hyperlink" Target="https://www.dropbox.com/scl/fi/27yqh0xogq1s7ai37vgn1/39904.pdf?rlkey=sdsj32f4n3mp85oz5dtkeig9z&amp;dl=0" TargetMode="External"/><Relationship Id="rId614" Type="http://schemas.openxmlformats.org/officeDocument/2006/relationships/hyperlink" Target="https://www.dropbox.com/scl/fi/8bltae76gbn7acnp9tlpy/40314.pdf?rlkey=iib8kmzczp8xg0l50e4pqk513&amp;dl=0" TargetMode="External"/><Relationship Id="rId821" Type="http://schemas.openxmlformats.org/officeDocument/2006/relationships/hyperlink" Target="https://www.dropbox.com/scl/fi/3sat4b8bzpm7v1jredo2t/40836.pdf?rlkey=ggxzywqkjjautdnnm7ae8d93s&amp;dl=0" TargetMode="External"/><Relationship Id="rId253" Type="http://schemas.openxmlformats.org/officeDocument/2006/relationships/hyperlink" Target="https://www.dropbox.com/scl/fi/y5njc3gjzvkdvzzbe0tge/39511.pdf?rlkey=wh1qg637baj939hu0qfpvxkdh&amp;dl=0" TargetMode="External"/><Relationship Id="rId460" Type="http://schemas.openxmlformats.org/officeDocument/2006/relationships/hyperlink" Target="https://www.dropbox.com/scl/fi/9sseiktwpvr4venwrilf1/40027.pdf?rlkey=ucmdt9vg15f2z99tu4jevrne9&amp;dl=0" TargetMode="External"/><Relationship Id="rId698" Type="http://schemas.openxmlformats.org/officeDocument/2006/relationships/hyperlink" Target="https://www.dropbox.com/scl/fi/uxw7srshqrrtmmi6lihhm/40464.pdf?rlkey=c7cglvkz9dku73zymmxq6rzvj&amp;dl=0" TargetMode="External"/><Relationship Id="rId919" Type="http://schemas.openxmlformats.org/officeDocument/2006/relationships/hyperlink" Target="https://www.dropbox.com/scl/fi/66gw2jy5khgo41deuqax2/41488.pdf?rlkey=572svzfwynfmuv0w2oterfh5x&amp;dl=0" TargetMode="External"/><Relationship Id="rId48" Type="http://schemas.openxmlformats.org/officeDocument/2006/relationships/hyperlink" Target="https://www.dropbox.com/scl/fi/1nltejj2bsc7a4gw9zexf/41151.pdf?rlkey=dr2ydsul8temj5npl215ggk20&amp;dl=0" TargetMode="External"/><Relationship Id="rId113" Type="http://schemas.openxmlformats.org/officeDocument/2006/relationships/hyperlink" Target="https://www.dropbox.com/scl/fi/zdrq5z6ly6dncer301ha4/41004.pdf?rlkey=wfye48ro2zu6nv3p0vuy8808h&amp;dl=0" TargetMode="External"/><Relationship Id="rId320" Type="http://schemas.openxmlformats.org/officeDocument/2006/relationships/hyperlink" Target="https://www.dropbox.com/scl/fi/8w238ewfgem4zqfat3v9h/39698.pdf?rlkey=krtqbekrmh1tnfor400kc7rwu&amp;dl=0" TargetMode="External"/><Relationship Id="rId558" Type="http://schemas.openxmlformats.org/officeDocument/2006/relationships/hyperlink" Target="https://www.dropbox.com/scl/fi/ecxnnxwwzgpuyn7f5oeos/40218.pdf?rlkey=613lxml4birsz8uagsgj8ew68&amp;dl=0" TargetMode="External"/><Relationship Id="rId765" Type="http://schemas.openxmlformats.org/officeDocument/2006/relationships/hyperlink" Target="https://www.dropbox.com/scl/fi/xex1beoxv8vdrchyiid23/40708.pdf?rlkey=nupilbz85s0bsbek1j2huc2u7&amp;dl=0" TargetMode="External"/><Relationship Id="rId972" Type="http://schemas.openxmlformats.org/officeDocument/2006/relationships/hyperlink" Target="https://www.dropbox.com/scl/fi/hljxfj2ockqhcj07fna6d/41622.pdf?rlkey=ngqlbtmeeyr3acpqbv8nt5kbe&amp;dl=0" TargetMode="External"/><Relationship Id="rId197" Type="http://schemas.openxmlformats.org/officeDocument/2006/relationships/hyperlink" Target="https://www.dropbox.com/scl/fi/svtjvpvd7a4zu8v3lvcxu/41356.pdf?rlkey=h2elmw852rl11w3s9penle29u&amp;dl=0" TargetMode="External"/><Relationship Id="rId418" Type="http://schemas.openxmlformats.org/officeDocument/2006/relationships/hyperlink" Target="https://www.dropbox.com/scl/fi/am3kfpe7ycysbei2a10ww/39929.pdf?rlkey=dwdaflm9tv3wttaox368zr9xt&amp;dl=0" TargetMode="External"/><Relationship Id="rId625" Type="http://schemas.openxmlformats.org/officeDocument/2006/relationships/hyperlink" Target="https://www.dropbox.com/scl/fi/grnkrxn6bjyaokytnyldi/40326.pdf?rlkey=st7bb2mhd2kxidir5ok78aj7z&amp;dl=0" TargetMode="External"/><Relationship Id="rId832" Type="http://schemas.openxmlformats.org/officeDocument/2006/relationships/hyperlink" Target="https://www.dropbox.com/scl/fi/shzp3wzsxenng169ss9zx/40874.pdf?rlkey=dl5h01uhgwv7swb1axkxvmzke&amp;dl=0" TargetMode="External"/><Relationship Id="rId264" Type="http://schemas.openxmlformats.org/officeDocument/2006/relationships/hyperlink" Target="https://www.dropbox.com/scl/fi/elxbgc18u3t8e8rbh6vq5/39536.pdf?rlkey=jbhhwa4pxo1ds6sf5jby358ng&amp;dl=0" TargetMode="External"/><Relationship Id="rId471" Type="http://schemas.openxmlformats.org/officeDocument/2006/relationships/hyperlink" Target="https://www.dropbox.com/scl/fi/ne1zf3b6pih2ltibx8yvj/40048.pdf?rlkey=b9a8za3fblci3le1mfalprmix&amp;dl=0" TargetMode="External"/><Relationship Id="rId59" Type="http://schemas.openxmlformats.org/officeDocument/2006/relationships/hyperlink" Target="https://www.dropbox.com/scl/fi/hif30vkt3ajf4n7tkn9sj/41182.pdf?rlkey=ai362528fs4gglzudssmzdslu&amp;dl=0" TargetMode="External"/><Relationship Id="rId124" Type="http://schemas.openxmlformats.org/officeDocument/2006/relationships/hyperlink" Target="https://www.dropbox.com/scl/fi/ssz8aemsbokl03ef9ockh/41041.pdf?rlkey=nlhqqj3jr9x0mcrl0rusub1gh&amp;dl=0" TargetMode="External"/><Relationship Id="rId569" Type="http://schemas.openxmlformats.org/officeDocument/2006/relationships/hyperlink" Target="https://www.dropbox.com/scl/fi/feaoonxmtks9p9083xz1h/40230.pdf?rlkey=yzra96iyixkjafdidx0h28v6e&amp;dl=0" TargetMode="External"/><Relationship Id="rId776" Type="http://schemas.openxmlformats.org/officeDocument/2006/relationships/hyperlink" Target="https://www.dropbox.com/scl/fi/bwofxbjuhv1ezgqshrc6k/40724.pdf?rlkey=wlf9lc3ax7rty133ju9mbn0d6&amp;dl=0" TargetMode="External"/><Relationship Id="rId983" Type="http://schemas.openxmlformats.org/officeDocument/2006/relationships/hyperlink" Target="https://www.dropbox.com/scl/fi/6ibf0tanlhck6ojgbo2ad/41647.pdf?rlkey=z0s63aa55d7qh6pbe35mru7er&amp;dl=0" TargetMode="External"/><Relationship Id="rId331" Type="http://schemas.openxmlformats.org/officeDocument/2006/relationships/hyperlink" Target="https://www.dropbox.com/scl/fi/5qjzvbhr0iaj66xhu7ikm/39729.pdf?rlkey=d7qtfy3ztvkt0rtjao9o8knw9&amp;dl=0" TargetMode="External"/><Relationship Id="rId429" Type="http://schemas.openxmlformats.org/officeDocument/2006/relationships/hyperlink" Target="https://www.dropbox.com/scl/fi/dla6joqbqql703n4a1egm/39956.pdf?rlkey=7eoxh2tww15b1amn8ww88v551&amp;dl=0" TargetMode="External"/><Relationship Id="rId636" Type="http://schemas.openxmlformats.org/officeDocument/2006/relationships/hyperlink" Target="https://www.dropbox.com/scl/fi/w1hlqpe2o5fz57ls2uos9/40346.pdf?rlkey=8wi9i8n6d0x1s5vo8ck1dhu0g&amp;dl=0" TargetMode="External"/><Relationship Id="rId843" Type="http://schemas.openxmlformats.org/officeDocument/2006/relationships/hyperlink" Target="https://www.dropbox.com/scl/fi/2bqjto0u4udhvz1nrgibs/40934.pdf?rlkey=42xa2szrcikig4k1vqf6y60jd&amp;dl=0" TargetMode="External"/><Relationship Id="rId275" Type="http://schemas.openxmlformats.org/officeDocument/2006/relationships/hyperlink" Target="https://www.dropbox.com/scl/fi/buhzjcd5gjjop7y7b5afo/39585.pdf?rlkey=zrksldzv57uwp9gms0olrks9s&amp;dl=0" TargetMode="External"/><Relationship Id="rId482" Type="http://schemas.openxmlformats.org/officeDocument/2006/relationships/hyperlink" Target="https://www.dropbox.com/scl/fi/0oz280mdz461qucg2ibye/40061.pdf?rlkey=1nz46x7sngomsdv6c2z5dn9r1&amp;dl=0" TargetMode="External"/><Relationship Id="rId703" Type="http://schemas.openxmlformats.org/officeDocument/2006/relationships/hyperlink" Target="https://www.dropbox.com/scl/fi/1ywayjl730ts65tz0egl4/40471.pdf?rlkey=5js96auzl2qbjtvjftey0ejoe&amp;dl=0" TargetMode="External"/><Relationship Id="rId910" Type="http://schemas.openxmlformats.org/officeDocument/2006/relationships/hyperlink" Target="https://www.dropbox.com/scl/fi/23czkokl71kivle6e7lqi/41476.pdf?rlkey=d21x1453egdnd1xh1dvenympk&amp;dl=0" TargetMode="External"/><Relationship Id="rId135" Type="http://schemas.openxmlformats.org/officeDocument/2006/relationships/hyperlink" Target="https://www.dropbox.com/scl/fi/qe8twxbk9kxwamukyyi4z/41095.pdf?rlkey=rpc7ciw2aeqsz9cebzy5p4lm6&amp;dl=0" TargetMode="External"/><Relationship Id="rId342" Type="http://schemas.openxmlformats.org/officeDocument/2006/relationships/hyperlink" Target="https://www.dropbox.com/scl/fi/3td9y57yyfy3t0c8hdlr2/39742.pdf?rlkey=ujplkcdcqfo8ahn1jwizpzhtu&amp;dl=0" TargetMode="External"/><Relationship Id="rId787" Type="http://schemas.openxmlformats.org/officeDocument/2006/relationships/hyperlink" Target="https://www.dropbox.com/scl/fi/t70dee7kk0fysw4n1kbzm/40741.pdf?rlkey=4h4wupze1v0j79a4gdvdf5oc0&amp;dl=0" TargetMode="External"/><Relationship Id="rId994" Type="http://schemas.openxmlformats.org/officeDocument/2006/relationships/hyperlink" Target="https://www.dropbox.com/scl/fi/c42woc3ovr8oydpnpuz95/41666.pdf?rlkey=wmp9mkoujw3t13a84ks587utt&amp;dl=0" TargetMode="External"/><Relationship Id="rId202" Type="http://schemas.openxmlformats.org/officeDocument/2006/relationships/hyperlink" Target="https://www.dropbox.com/scl/fi/m2xzh0gwbpwne5dodnbb9/41368.pdf?rlkey=2m7mryj60wg9ihpqw553v6wp4&amp;dl=0" TargetMode="External"/><Relationship Id="rId647" Type="http://schemas.openxmlformats.org/officeDocument/2006/relationships/hyperlink" Target="https://www.dropbox.com/scl/fi/48wvsbe5ln877ycjn4ijz/40370.pdf?rlkey=nt7ac5621bqwm21j0fmfvqfyz&amp;dl=0" TargetMode="External"/><Relationship Id="rId854" Type="http://schemas.openxmlformats.org/officeDocument/2006/relationships/hyperlink" Target="https://www.dropbox.com/scl/fi/q8p184xpfw6uxldc9do3s/41393.pdf?rlkey=b4wlyjznbajqui7ujsnodotne&amp;dl=0" TargetMode="External"/><Relationship Id="rId286" Type="http://schemas.openxmlformats.org/officeDocument/2006/relationships/hyperlink" Target="https://www.dropbox.com/scl/fi/kozxwrr1brk1gilbttq43/39611.pdf?rlkey=dm2ihpw4k18dyxwy7hsk7x7m6&amp;dl=0" TargetMode="External"/><Relationship Id="rId493" Type="http://schemas.openxmlformats.org/officeDocument/2006/relationships/hyperlink" Target="https://www.dropbox.com/scl/fi/ervud1zxx7k5gogn6838x/40091.pdf?rlkey=yqavv6l22nmvinvuwora7mrax&amp;dl=0" TargetMode="External"/><Relationship Id="rId507" Type="http://schemas.openxmlformats.org/officeDocument/2006/relationships/hyperlink" Target="https://www.dropbox.com/scl/fi/c2hr55nkuf9ay1w7esebn/40127.pdf?rlkey=jjbqsbkcbi0u1ml8lihrnflk6&amp;dl=0" TargetMode="External"/><Relationship Id="rId714" Type="http://schemas.openxmlformats.org/officeDocument/2006/relationships/hyperlink" Target="https://www.dropbox.com/scl/fi/93m6u06kj50jgt9wd8hvx/40489.pdf?rlkey=xbhzyamvi31cw0o3vozz4m97k&amp;dl=0" TargetMode="External"/><Relationship Id="rId921" Type="http://schemas.openxmlformats.org/officeDocument/2006/relationships/hyperlink" Target="https://www.dropbox.com/scl/fi/syeas7mir359ciu42hw4h/41492.pdf?rlkey=k77hgft4ivjtdquvx5x81h3sn&amp;dl=0" TargetMode="External"/><Relationship Id="rId50" Type="http://schemas.openxmlformats.org/officeDocument/2006/relationships/hyperlink" Target="https://www.dropbox.com/scl/fi/a8crytlzoeebdklrzjilh/41153.pdf?rlkey=ojdnkgsf5o45r81qat5xifsna&amp;dl=0" TargetMode="External"/><Relationship Id="rId146" Type="http://schemas.openxmlformats.org/officeDocument/2006/relationships/hyperlink" Target="https://www.dropbox.com/scl/fi/sogdst8ia6ije45td7tkc/41134.pdf?rlkey=gdzlv1xw8pt7p8togz4pnhjxw&amp;dl=0" TargetMode="External"/><Relationship Id="rId353" Type="http://schemas.openxmlformats.org/officeDocument/2006/relationships/hyperlink" Target="https://www.dropbox.com/scl/fi/dq2kd7v5vk1n6zne4ok9d/39767.pdf?rlkey=wu4pi5ifq0ytdpojy9oegf9qt&amp;dl=0" TargetMode="External"/><Relationship Id="rId560" Type="http://schemas.openxmlformats.org/officeDocument/2006/relationships/hyperlink" Target="https://www.dropbox.com/scl/fi/a3uulydn374whq7e61knj/40220.pdf?rlkey=jeaak55r3jutk9t4hohvr9lmb&amp;dl=0" TargetMode="External"/><Relationship Id="rId798" Type="http://schemas.openxmlformats.org/officeDocument/2006/relationships/hyperlink" Target="https://www.dropbox.com/scl/fi/i2nekr98nzp6nx0qbd7ll/40754.pdf?rlkey=bo51bw6x2qywurh9018vgetin&amp;dl=0" TargetMode="External"/><Relationship Id="rId213" Type="http://schemas.openxmlformats.org/officeDocument/2006/relationships/hyperlink" Target="https://www.dropbox.com/scl/fi/4o151yv06pa0pttt3nspc/41380.pdf?rlkey=5dp5cw5s9qkrfyhxo7u5f6bmh&amp;dl=0" TargetMode="External"/><Relationship Id="rId420" Type="http://schemas.openxmlformats.org/officeDocument/2006/relationships/hyperlink" Target="https://www.dropbox.com/scl/fi/hgboummqxlez9x1c0n2xz/39931.pdf?rlkey=ti28b5z3t8361l8vy9ualxuqa&amp;dl=0" TargetMode="External"/><Relationship Id="rId658" Type="http://schemas.openxmlformats.org/officeDocument/2006/relationships/hyperlink" Target="https://www.dropbox.com/scl/fi/sqomkaqpejfcxd70utyss/40390.pdf?rlkey=o1hcmn2vptb63mpxat3etkdn7&amp;dl=0" TargetMode="External"/><Relationship Id="rId865" Type="http://schemas.openxmlformats.org/officeDocument/2006/relationships/hyperlink" Target="https://www.dropbox.com/scl/fi/mexypevfdlmkwpjecam01/41406.pdf?rlkey=6gs2z3i16sl58nbu7hag2ogvx&amp;dl=0" TargetMode="External"/><Relationship Id="rId297" Type="http://schemas.openxmlformats.org/officeDocument/2006/relationships/hyperlink" Target="https://www.dropbox.com/scl/fi/zr3302zozdrla55af9r55/39627.pdf?rlkey=dcnder8m3nxhkmf9zsphdz8xq&amp;dl=0" TargetMode="External"/><Relationship Id="rId518" Type="http://schemas.openxmlformats.org/officeDocument/2006/relationships/hyperlink" Target="https://www.dropbox.com/scl/fi/uox2f7otp5orn4fvz4iqe/40159.pdf?rlkey=dxjv5uuph2f0d8jn0dzdze0fn&amp;dl=0" TargetMode="External"/><Relationship Id="rId725" Type="http://schemas.openxmlformats.org/officeDocument/2006/relationships/hyperlink" Target="https://www.dropbox.com/scl/fi/mnmvo0fnv1g1lgsjearys/40506.pdf?rlkey=uioajfa7vgexwa7ztx6n2oos4&amp;dl=0" TargetMode="External"/><Relationship Id="rId932" Type="http://schemas.openxmlformats.org/officeDocument/2006/relationships/hyperlink" Target="https://www.dropbox.com/scl/fi/kxhnhzu4wr5ynsd3bi7nh/41511.pdf?rlkey=4nbzrbsysu84uf5ccki2feqv8&amp;dl=0" TargetMode="External"/><Relationship Id="rId157" Type="http://schemas.openxmlformats.org/officeDocument/2006/relationships/hyperlink" Target="https://www.dropbox.com/scl/fi/1jamp81j5wzbbhcbit3y3/41172.pdf?rlkey=jcgxt16pepf2jpeavxxrrhwv4&amp;dl=0" TargetMode="External"/><Relationship Id="rId364" Type="http://schemas.openxmlformats.org/officeDocument/2006/relationships/hyperlink" Target="https://www.dropbox.com/scl/fi/aitjnwjn42zq8oyvfczpz/39802.pdf?rlkey=hhsyhmhj60plubqp4mwih6egh&amp;dl=0" TargetMode="External"/><Relationship Id="rId1008" Type="http://schemas.openxmlformats.org/officeDocument/2006/relationships/hyperlink" Target="https://www.dropbox.com/scl/fi/caipgm7o7wxnqav4dmbl1/41710.pdf?rlkey=xgr3a2h803pefa676j7263l4r&amp;dl=0" TargetMode="External"/><Relationship Id="rId61" Type="http://schemas.openxmlformats.org/officeDocument/2006/relationships/hyperlink" Target="https://www.dropbox.com/scl/fi/hswyrtehn1oz3jby7k1mx/41058.pdf?rlkey=06g4fih8dve6ju7fsf3klcdrx&amp;dl=0" TargetMode="External"/><Relationship Id="rId571" Type="http://schemas.openxmlformats.org/officeDocument/2006/relationships/hyperlink" Target="https://www.dropbox.com/scl/fi/yvjzmnqf7qe83nueis59f/40232.pdf?rlkey=kug7w7iepx85zw5svqyuxkqeu&amp;dl=0" TargetMode="External"/><Relationship Id="rId669" Type="http://schemas.openxmlformats.org/officeDocument/2006/relationships/hyperlink" Target="https://www.dropbox.com/scl/fi/j5vbr5wmntjadw9chjt0c/40419.pdf?rlkey=ucdhcqtgghar4hd1gutwtoei1&amp;dl=0" TargetMode="External"/><Relationship Id="rId876" Type="http://schemas.openxmlformats.org/officeDocument/2006/relationships/hyperlink" Target="https://www.dropbox.com/scl/fi/z9hsyh3rxpwql2urnqzcv/41427.pdf?rlkey=90ff0c14zxp0opaf8p8jc9qo5&amp;dl=0" TargetMode="External"/><Relationship Id="rId19" Type="http://schemas.openxmlformats.org/officeDocument/2006/relationships/hyperlink" Target="https://www.dropbox.com/scl/fi/m29tdcevyf3vj8evezsum/41138.pdf?rlkey=laact1tseq6u8h990zhvpbm0s&amp;dl=0" TargetMode="External"/><Relationship Id="rId224" Type="http://schemas.openxmlformats.org/officeDocument/2006/relationships/hyperlink" Target="https://www.dropbox.com/scl/fi/p4gyqvbjm97q4y79bvg6o/39429.pdf?rlkey=3atkb13gzgn8ohkx8talxmfv3&amp;dl=0" TargetMode="External"/><Relationship Id="rId431" Type="http://schemas.openxmlformats.org/officeDocument/2006/relationships/hyperlink" Target="https://www.dropbox.com/scl/fi/lkv6se98c1zmpeyfkpl7m/39958.pdf?rlkey=mgsvx2c1wmko0ijyetvnwcs63&amp;dl=0" TargetMode="External"/><Relationship Id="rId529" Type="http://schemas.openxmlformats.org/officeDocument/2006/relationships/hyperlink" Target="https://www.dropbox.com/scl/fi/0cjb7soeyl0panepxak3o/40181.pdf?rlkey=lk1zn0buinyhayh5r4fau2579&amp;dl=0" TargetMode="External"/><Relationship Id="rId736" Type="http://schemas.openxmlformats.org/officeDocument/2006/relationships/hyperlink" Target="https://www.dropbox.com/scl/fi/2oak1itpsakyfbs4dlsn6/40517.pdf?rlkey=rlm01l227vtqd0lxv2n3tjcbw&amp;dl=0" TargetMode="External"/><Relationship Id="rId168" Type="http://schemas.openxmlformats.org/officeDocument/2006/relationships/hyperlink" Target="https://www.dropbox.com/scl/fi/1ft37zm3vjwlbkdzmj8fh/41204.pdf?rlkey=38t0yh0pxnlqqfpjw3wayxb0r&amp;dl=0" TargetMode="External"/><Relationship Id="rId943" Type="http://schemas.openxmlformats.org/officeDocument/2006/relationships/hyperlink" Target="https://www.dropbox.com/scl/fi/tqhv4j3uthvzbk30qe5h2/41531.pdf?rlkey=wrvx116aasvf9pmvazqvoc2m1&amp;dl=0" TargetMode="External"/><Relationship Id="rId72" Type="http://schemas.openxmlformats.org/officeDocument/2006/relationships/hyperlink" Target="https://www.dropbox.com/scl/fi/vw6ulvi8eqpphcpqnyfej/41160.pdf?rlkey=j1w5aze64mbpk5rtlfk9mv88f&amp;dl=0" TargetMode="External"/><Relationship Id="rId375" Type="http://schemas.openxmlformats.org/officeDocument/2006/relationships/hyperlink" Target="https://www.dropbox.com/scl/fi/89lo9ys9re6tsig0y3sni/39824.pdf?rlkey=ui3xblypoqaoamhxduawt6mk1&amp;dl=0" TargetMode="External"/><Relationship Id="rId582" Type="http://schemas.openxmlformats.org/officeDocument/2006/relationships/hyperlink" Target="https://www.dropbox.com/scl/fi/dn7uc4ko0qhojxynu4nfz/40266.pdf?rlkey=ngdr1x548vwwgaupm1cck9q4y&amp;dl=0" TargetMode="External"/><Relationship Id="rId803" Type="http://schemas.openxmlformats.org/officeDocument/2006/relationships/hyperlink" Target="https://www.dropbox.com/scl/fi/fjrwxgltmogukb2z3uuus/40766.pdf?rlkey=9zk85ritr57mfoh1i8jzljhys&amp;dl=0" TargetMode="External"/><Relationship Id="rId3" Type="http://schemas.openxmlformats.org/officeDocument/2006/relationships/hyperlink" Target="https://www.dropbox.com/scl/fi/shmf7hiainqaq5pfzfyqd/40755.pdf?rlkey=3yl5g6i8y37bj8c0if185r2p7&amp;dl=0" TargetMode="External"/><Relationship Id="rId235" Type="http://schemas.openxmlformats.org/officeDocument/2006/relationships/hyperlink" Target="https://www.dropbox.com/scl/fi/usmm0ncr5ot8ewvlqf09i/39452.pdf?rlkey=qsm2i6o7jozlq4l1yr40tan8e&amp;dl=0" TargetMode="External"/><Relationship Id="rId442" Type="http://schemas.openxmlformats.org/officeDocument/2006/relationships/hyperlink" Target="https://www.dropbox.com/scl/fi/ikhrmrqj5qm0roopxq6rw/39991.pdf?rlkey=ad3gqlcvhl8cuhj2v7uj00zyq&amp;dl=0" TargetMode="External"/><Relationship Id="rId887" Type="http://schemas.openxmlformats.org/officeDocument/2006/relationships/hyperlink" Target="https://www.dropbox.com/scl/fi/ozkxvbafuv9kszgw3kukf/41446.pdf?rlkey=ays6bmkuykwbdzg755rcfzsdu&amp;dl=0" TargetMode="External"/><Relationship Id="rId302" Type="http://schemas.openxmlformats.org/officeDocument/2006/relationships/hyperlink" Target="https://www.dropbox.com/scl/fi/hqaeqz9fl338nw8tazomz/39634.pdf?rlkey=i4gjkkp56mojvh85q7mbgfk88&amp;dl=0" TargetMode="External"/><Relationship Id="rId747" Type="http://schemas.openxmlformats.org/officeDocument/2006/relationships/hyperlink" Target="https://www.dropbox.com/scl/fi/frlawie05y1fwebjvvgqf/40540.pdf?rlkey=mugbdzuncguoe8or7kbm8yhfm&amp;dl=0" TargetMode="External"/><Relationship Id="rId954" Type="http://schemas.openxmlformats.org/officeDocument/2006/relationships/hyperlink" Target="https://www.dropbox.com/scl/fi/k7ifd1e0ahsnp3088027p/41572.pdf?rlkey=6blsaqn9qxrfutpcrvq3dnl73&amp;dl=0" TargetMode="External"/><Relationship Id="rId83" Type="http://schemas.openxmlformats.org/officeDocument/2006/relationships/hyperlink" Target="https://www.dropbox.com/scl/fi/6d7v8n3nhsc31o60j9wmq/41365.pdf?rlkey=8ilrdflduxzeg0livi77t3ct0&amp;dl=0" TargetMode="External"/><Relationship Id="rId179" Type="http://schemas.openxmlformats.org/officeDocument/2006/relationships/hyperlink" Target="https://www.dropbox.com/scl/fi/659rbnmfophnw4jzcoxto/41271.pdf?rlkey=jpiwam368cs7a33x04d52lhvr&amp;dl=0" TargetMode="External"/><Relationship Id="rId386" Type="http://schemas.openxmlformats.org/officeDocument/2006/relationships/hyperlink" Target="https://www.dropbox.com/scl/fi/54imteqm1r6thj6ij2ae9/39856.pdf?rlkey=jx6h3uaw6cop04ni3ku6mypqg&amp;dl=0" TargetMode="External"/><Relationship Id="rId593" Type="http://schemas.openxmlformats.org/officeDocument/2006/relationships/hyperlink" Target="https://www.dropbox.com/scl/fi/i8zeyagan8zwq7n41kkd4/40286.pdf?rlkey=iypm8ocra4f7pl1vr43em875o&amp;dl=0" TargetMode="External"/><Relationship Id="rId607" Type="http://schemas.openxmlformats.org/officeDocument/2006/relationships/hyperlink" Target="https://www.dropbox.com/scl/fi/jvch6fewj2ttia4np00h0/40304.pdf?rlkey=1gixoig6u1rcdd7avof1wctba&amp;dl=0" TargetMode="External"/><Relationship Id="rId814" Type="http://schemas.openxmlformats.org/officeDocument/2006/relationships/hyperlink" Target="https://www.dropbox.com/scl/fi/o2doqojdq0ry240s8z3m9/40795.pdf?rlkey=jocjaz594ei9kk4ssdi8ii7tq&amp;dl=0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dropbox.com/scl/fi/dd75krh2t4oqgrektq20h/40821.pdf?rlkey=ye6o9kjp34wg2loii3cmhqcjt&amp;dl=0" TargetMode="External"/><Relationship Id="rId671" Type="http://schemas.openxmlformats.org/officeDocument/2006/relationships/hyperlink" Target="https://www.dropbox.com/scl/fi/y6enrhczocztai1asm63s/40336.pdf?rlkey=xp1ms912d3vl6vl6cyn3rb0c4&amp;dl=0" TargetMode="External"/><Relationship Id="rId769" Type="http://schemas.openxmlformats.org/officeDocument/2006/relationships/hyperlink" Target="https://www.dropbox.com/scl/fi/01o809yluc72fr6w90wnj/40846.pdf?rlkey=776vhga1qrao59e0iiam3qr35&amp;dl=0" TargetMode="External"/><Relationship Id="rId21" Type="http://schemas.openxmlformats.org/officeDocument/2006/relationships/hyperlink" Target="https://www.dropbox.com/scl/fi/2qhmroxxn2zf1zkh3moct/41227.pdf?rlkey=qf6v57manpdv93tha35y91oh7&amp;dl=0" TargetMode="External"/><Relationship Id="rId324" Type="http://schemas.openxmlformats.org/officeDocument/2006/relationships/hyperlink" Target="https://www.dropbox.com/scl/fi/qtt2m26v4oxv4qbhpler6/39601.pdf?rlkey=h7ahrgjdhsn10id1jc3nnb12v&amp;dl=0" TargetMode="External"/><Relationship Id="rId531" Type="http://schemas.openxmlformats.org/officeDocument/2006/relationships/hyperlink" Target="https://www.dropbox.com/scl/fi/1wv22f3m7gofbttzjk9qs/39998.pdf?rlkey=gxjevoiwtjrfxiaj3ksfgilkc&amp;dl=0" TargetMode="External"/><Relationship Id="rId629" Type="http://schemas.openxmlformats.org/officeDocument/2006/relationships/hyperlink" Target="https://www.dropbox.com/scl/fi/zfilh36m761pd20q8ycf7/40225.pdf?rlkey=nf6oyx2hcdmktj7ycirxo9qps&amp;dl=0" TargetMode="External"/><Relationship Id="rId170" Type="http://schemas.openxmlformats.org/officeDocument/2006/relationships/hyperlink" Target="https://www.dropbox.com/scl/fi/8a0znwpic4n0728vvrsvp/41237.pdf?rlkey=odlu4gsaqdpedpy4ag4nooy6b&amp;dl=0" TargetMode="External"/><Relationship Id="rId836" Type="http://schemas.openxmlformats.org/officeDocument/2006/relationships/hyperlink" Target="https://www.dropbox.com/scl/fi/1nyme392cay50qy3ltkog/41438.pdf?rlkey=ipp053k7dbi9avsqiwbryl2e1&amp;dl=0" TargetMode="External"/><Relationship Id="rId268" Type="http://schemas.openxmlformats.org/officeDocument/2006/relationships/hyperlink" Target="https://www.dropbox.com/scl/fi/xgcx7tx944iocnv4tel6v/39516.pdf?rlkey=etmosh0y5bdjpmdx58pkg8yas&amp;dl=0" TargetMode="External"/><Relationship Id="rId475" Type="http://schemas.openxmlformats.org/officeDocument/2006/relationships/hyperlink" Target="https://www.dropbox.com/scl/fi/9qjk1yc6lrxn57znxoe10/39879.pdf?rlkey=jkzacnnwnmpslhewwnwz86gwv&amp;dl=0" TargetMode="External"/><Relationship Id="rId682" Type="http://schemas.openxmlformats.org/officeDocument/2006/relationships/hyperlink" Target="https://www.dropbox.com/scl/fi/s0wcs0easdr8t248lntug/40364.pdf?rlkey=meqo47c11zlgk7giw9bidm7fe&amp;dl=0" TargetMode="External"/><Relationship Id="rId903" Type="http://schemas.openxmlformats.org/officeDocument/2006/relationships/hyperlink" Target="https://www.dropbox.com/scl/fi/2t6026qp4y2qz8l9bqttp/41592.pdf?rlkey=9g26ob9qf16sdhsjxkhzpdzr2&amp;dl=0" TargetMode="External"/><Relationship Id="rId32" Type="http://schemas.openxmlformats.org/officeDocument/2006/relationships/hyperlink" Target="https://www.dropbox.com/scl/fi/775hb10sh9noyr9xx8s16/41111.pdf?rlkey=lz3kfm77horkih7w54l07zfz1&amp;dl=0" TargetMode="External"/><Relationship Id="rId128" Type="http://schemas.openxmlformats.org/officeDocument/2006/relationships/hyperlink" Target="https://www.dropbox.com/scl/fi/7ivzccpxbypade07cei1a/41081.pdf?rlkey=txcsve2bt8131k33rer888nep&amp;dl=0" TargetMode="External"/><Relationship Id="rId335" Type="http://schemas.openxmlformats.org/officeDocument/2006/relationships/hyperlink" Target="https://www.dropbox.com/scl/fi/95ftgn183wp0rqt1w27kr/39638.pdf?rlkey=8ly0prsrersrfvmxn1upgidg9&amp;dl=0" TargetMode="External"/><Relationship Id="rId542" Type="http://schemas.openxmlformats.org/officeDocument/2006/relationships/hyperlink" Target="https://www.dropbox.com/scl/fi/28qbn46cda3eyqoioj1t9/40018.pdf?rlkey=4smejnef0yru0ko0yj5ryfyk3&amp;dl=0" TargetMode="External"/><Relationship Id="rId181" Type="http://schemas.openxmlformats.org/officeDocument/2006/relationships/hyperlink" Target="https://www.dropbox.com/scl/fi/2q4bprx6f1eyot7kgmay3/41299.pdf?rlkey=mjvft3z6orzzxtfgkfqlp0qs0&amp;dl=0" TargetMode="External"/><Relationship Id="rId402" Type="http://schemas.openxmlformats.org/officeDocument/2006/relationships/hyperlink" Target="https://www.dropbox.com/scl/fi/f2gyhuldwubufbnnnuwxa/39754.pdf?rlkey=ylammwk0z65plism1okojxtpx&amp;dl=0" TargetMode="External"/><Relationship Id="rId847" Type="http://schemas.openxmlformats.org/officeDocument/2006/relationships/hyperlink" Target="https://www.dropbox.com/scl/fi/0xq2tf4u3zxmraqxl83vu/41472.pdf?rlkey=ciwgrki14kg91jkqe652gmrkw&amp;dl=0" TargetMode="External"/><Relationship Id="rId279" Type="http://schemas.openxmlformats.org/officeDocument/2006/relationships/hyperlink" Target="https://www.dropbox.com/scl/fi/6fmigkpnbewx0ck6v2w0r/39540.pdf?rlkey=f8i9fd90i5ij54q6skzybebho&amp;dl=0" TargetMode="External"/><Relationship Id="rId486" Type="http://schemas.openxmlformats.org/officeDocument/2006/relationships/hyperlink" Target="https://www.dropbox.com/scl/fi/ub0y7nq4a6535iltszgkd/39899.pdf?rlkey=837y35gia7ixei8kqtnobzd3z&amp;dl=0" TargetMode="External"/><Relationship Id="rId693" Type="http://schemas.openxmlformats.org/officeDocument/2006/relationships/hyperlink" Target="https://www.dropbox.com/scl/fi/j393xo1sd676fnz71mnid/40391.pdf?rlkey=euk8lz925x95hr3y80l1ccv8c&amp;dl=0" TargetMode="External"/><Relationship Id="rId707" Type="http://schemas.openxmlformats.org/officeDocument/2006/relationships/hyperlink" Target="https://www.dropbox.com/scl/fi/vdkw0m9ovnkuz5czv3yf3/40411.pdf?rlkey=udc3u42qc1ivdhzsmltxfiw4j&amp;dl=0" TargetMode="External"/><Relationship Id="rId914" Type="http://schemas.openxmlformats.org/officeDocument/2006/relationships/hyperlink" Target="https://www.dropbox.com/scl/fi/6964a2fraxr2j9xtm1a57/41607.pdf?rlkey=hul4f86u9gnci0zilruvwecp7&amp;dl=0" TargetMode="External"/><Relationship Id="rId43" Type="http://schemas.openxmlformats.org/officeDocument/2006/relationships/hyperlink" Target="https://www.dropbox.com/scl/fi/g7ikppell275atbwligpj/41002.pdf?rlkey=dmxwizysvaemwvj1uqy88ho3e&amp;dl=0" TargetMode="External"/><Relationship Id="rId139" Type="http://schemas.openxmlformats.org/officeDocument/2006/relationships/hyperlink" Target="https://www.dropbox.com/scl/fi/6l5cpkarcvfkhw8o7dr50/41141.pdf?rlkey=psq9isprdhn4jhizknk0azqhb&amp;dl=0" TargetMode="External"/><Relationship Id="rId346" Type="http://schemas.openxmlformats.org/officeDocument/2006/relationships/hyperlink" Target="https://www.dropbox.com/scl/fi/ixlkklusn3qmrh58pffbq/39653.pdf?rlkey=4npfd9yl21r28ej2z6cgv719w&amp;dl=0" TargetMode="External"/><Relationship Id="rId553" Type="http://schemas.openxmlformats.org/officeDocument/2006/relationships/hyperlink" Target="https://www.dropbox.com/scl/fi/li3kdp3hxvbfr8w15q94o/40040.pdf?rlkey=amc2egohf8alrmk10wvz2qsjp&amp;dl=0" TargetMode="External"/><Relationship Id="rId760" Type="http://schemas.openxmlformats.org/officeDocument/2006/relationships/hyperlink" Target="https://www.dropbox.com/scl/fi/ccli89awaf8v3f3ucklkh/40800.pdf?rlkey=njpskjxt9p1tq9h43lj3xqq57&amp;dl=0" TargetMode="External"/><Relationship Id="rId192" Type="http://schemas.openxmlformats.org/officeDocument/2006/relationships/hyperlink" Target="https://www.dropbox.com/scl/fi/hsxemkiqd6eppi9lo6p3z/41345.pdf?rlkey=gzbtlwaikrskgzff0a8f1dw7o&amp;dl=0" TargetMode="External"/><Relationship Id="rId206" Type="http://schemas.openxmlformats.org/officeDocument/2006/relationships/hyperlink" Target="https://www.dropbox.com/scl/fi/2o1lkdpt5tz4xq3a7r47r/39424.pdf?rlkey=hk5zx2rcyq8mrf177mswp3b2x&amp;dl=0" TargetMode="External"/><Relationship Id="rId413" Type="http://schemas.openxmlformats.org/officeDocument/2006/relationships/hyperlink" Target="https://www.dropbox.com/scl/fi/4lhtljrwg775ab15qswq6/39775.pdf?rlkey=edyztpoaodzjjh35fn8ti0ucp&amp;dl=0" TargetMode="External"/><Relationship Id="rId858" Type="http://schemas.openxmlformats.org/officeDocument/2006/relationships/hyperlink" Target="https://www.dropbox.com/scl/fi/ikhowvs5hqbkr30sd769b/41510.pdf?rlkey=3wha0uleryt8cjun02alf1ios&amp;dl=0" TargetMode="External"/><Relationship Id="rId497" Type="http://schemas.openxmlformats.org/officeDocument/2006/relationships/hyperlink" Target="https://www.dropbox.com/scl/fi/ufsd4huf5s415iib9jo7k/39920.pdf?rlkey=7pnwrf0rzerp0jcnoyid7um3x&amp;dl=0" TargetMode="External"/><Relationship Id="rId620" Type="http://schemas.openxmlformats.org/officeDocument/2006/relationships/hyperlink" Target="https://www.dropbox.com/scl/fi/maw8x30n78z3rfs77js21/40168.pdf?rlkey=c3fs6w3f2v2zg968btb8fjdla&amp;dl=0" TargetMode="External"/><Relationship Id="rId718" Type="http://schemas.openxmlformats.org/officeDocument/2006/relationships/hyperlink" Target="https://www.dropbox.com/scl/fi/vrpz1orxqeahdkf0tp9hv/40461.pdf?rlkey=rrgvi0vkylughdxc19rthheap&amp;dl=0" TargetMode="External"/><Relationship Id="rId925" Type="http://schemas.openxmlformats.org/officeDocument/2006/relationships/hyperlink" Target="https://www.dropbox.com/scl/fi/hq02edoj6schn9yt2u711/41637.pdf?rlkey=4tkdz8fwwj9d1eibjiqi53cqw&amp;dl=0" TargetMode="External"/><Relationship Id="rId357" Type="http://schemas.openxmlformats.org/officeDocument/2006/relationships/hyperlink" Target="https://www.dropbox.com/scl/fi/gychyxct7x3930fcuz8kn/39674.pdf?rlkey=2vehdijj6en8vl1zyf3m123qn&amp;dl=0" TargetMode="External"/><Relationship Id="rId54" Type="http://schemas.openxmlformats.org/officeDocument/2006/relationships/hyperlink" Target="https://www.dropbox.com/scl/fi/5nbmpw5o0wq5d1cx0frux/41331.pdf?rlkey=4jx4irujdcsdthsmi3zz08mch&amp;dl=0" TargetMode="External"/><Relationship Id="rId217" Type="http://schemas.openxmlformats.org/officeDocument/2006/relationships/hyperlink" Target="https://www.dropbox.com/scl/fi/j8c7kv5xe0oyzgszvy3i9/39443.pdf?rlkey=5kmbdtchpn2seopvklvbvm12h&amp;dl=0" TargetMode="External"/><Relationship Id="rId564" Type="http://schemas.openxmlformats.org/officeDocument/2006/relationships/hyperlink" Target="https://www.dropbox.com/scl/fi/ciail3xvjn4cln5uorfgr/40074.pdf?rlkey=aobrhhnt0f0hgeomkugm0mgr2&amp;dl=0" TargetMode="External"/><Relationship Id="rId771" Type="http://schemas.openxmlformats.org/officeDocument/2006/relationships/hyperlink" Target="https://www.dropbox.com/scl/fi/ocbv16mddm670khg0clwt/40850.pdf?rlkey=tbrg37m4e4098yff5a1wdsymg&amp;dl=0" TargetMode="External"/><Relationship Id="rId869" Type="http://schemas.openxmlformats.org/officeDocument/2006/relationships/hyperlink" Target="https://www.dropbox.com/scl/fi/h1pm8ba9kpsawnbietnt3/41533.pdf?rlkey=tr6m0jjnq56t159abzfgya63y&amp;dl=0" TargetMode="External"/><Relationship Id="rId424" Type="http://schemas.openxmlformats.org/officeDocument/2006/relationships/hyperlink" Target="https://www.dropbox.com/scl/fi/v9vnvuwxhu17e913cvo74/39789.pdf?rlkey=cq6yagb8d7n8ckha3h26tffdp&amp;dl=0" TargetMode="External"/><Relationship Id="rId631" Type="http://schemas.openxmlformats.org/officeDocument/2006/relationships/hyperlink" Target="https://www.dropbox.com/scl/fi/3egw7f8wvuwvxbcw4qibs/40240.pdf?rlkey=kl4l5xvo126amel27ihsxqbfw&amp;dl=0" TargetMode="External"/><Relationship Id="rId729" Type="http://schemas.openxmlformats.org/officeDocument/2006/relationships/hyperlink" Target="https://www.dropbox.com/scl/fi/prf3z85mfcjcthqdhb07p/40496.pdf?rlkey=gafcugkia61eoomrdx2hw7pl0&amp;dl=0" TargetMode="External"/><Relationship Id="rId270" Type="http://schemas.openxmlformats.org/officeDocument/2006/relationships/hyperlink" Target="https://www.dropbox.com/scl/fi/bbbuejv39vgzi3jg0emad/39518.pdf?rlkey=t2jpxs4wjxethlqe6g9lkcpca&amp;dl=0" TargetMode="External"/><Relationship Id="rId936" Type="http://schemas.openxmlformats.org/officeDocument/2006/relationships/hyperlink" Target="https://www.dropbox.com/scl/fi/w7r0oi0y14kvx3aiaw5au/41659.pdf?rlkey=nrga1d1934zgryeew6pbjkn6d&amp;dl=0" TargetMode="External"/><Relationship Id="rId65" Type="http://schemas.openxmlformats.org/officeDocument/2006/relationships/hyperlink" Target="https://www.dropbox.com/scl/fi/ydj4orsj50833ftv4067r/40141.pdf?rlkey=e2j82g5sjq7hxvshbst7yqecx&amp;dl=0" TargetMode="External"/><Relationship Id="rId130" Type="http://schemas.openxmlformats.org/officeDocument/2006/relationships/hyperlink" Target="https://www.dropbox.com/scl/fi/xhh6yxdhh8x9tul0fn3xv/41083.pdf?rlkey=i1vllbxb9w2gjl892tfrcdi9x&amp;dl=0" TargetMode="External"/><Relationship Id="rId368" Type="http://schemas.openxmlformats.org/officeDocument/2006/relationships/hyperlink" Target="https://www.dropbox.com/scl/fi/32vtubeeswmqclh4yz8f2/39687.pdf?rlkey=zzfv8xj8kkdnrjfyzhoak7ign&amp;dl=0" TargetMode="External"/><Relationship Id="rId575" Type="http://schemas.openxmlformats.org/officeDocument/2006/relationships/hyperlink" Target="https://www.dropbox.com/scl/fi/234d2mypse7iqzj6nashh/40089.pdf?rlkey=lqu2ju4nkdnqdimayzdl5o7vy&amp;dl=0" TargetMode="External"/><Relationship Id="rId782" Type="http://schemas.openxmlformats.org/officeDocument/2006/relationships/hyperlink" Target="https://www.dropbox.com/scl/fi/74m4m8h54adqk91ioowc7/40891.pdf?rlkey=7d0ug6td2dgwli22yim1n8xsx&amp;dl=0" TargetMode="External"/><Relationship Id="rId228" Type="http://schemas.openxmlformats.org/officeDocument/2006/relationships/hyperlink" Target="https://www.dropbox.com/scl/fi/p9h1qavdvf6elztn3k6h5/39458.pdf?rlkey=pmi9s9nph85x5oiinnevcdj2v&amp;dl=0" TargetMode="External"/><Relationship Id="rId435" Type="http://schemas.openxmlformats.org/officeDocument/2006/relationships/hyperlink" Target="https://www.dropbox.com/scl/fi/5qkvrwo31fqsf03e29n3k/39813.pdf?rlkey=pgitjcqb8r3tzjj9tyn4k1gao&amp;dl=0" TargetMode="External"/><Relationship Id="rId642" Type="http://schemas.openxmlformats.org/officeDocument/2006/relationships/hyperlink" Target="https://www.dropbox.com/scl/fi/fayglpjy75fupoxr24int/40254.pdf?rlkey=q71yq6vzunjo7hyiahzm6awfx&amp;dl=0" TargetMode="External"/><Relationship Id="rId281" Type="http://schemas.openxmlformats.org/officeDocument/2006/relationships/hyperlink" Target="https://www.dropbox.com/scl/fi/z2kb771gf80iuic91bqe7/39542.pdf?rlkey=5xs5cljce5htqu026p0bkzwi9&amp;dl=0" TargetMode="External"/><Relationship Id="rId502" Type="http://schemas.openxmlformats.org/officeDocument/2006/relationships/hyperlink" Target="https://www.dropbox.com/scl/fi/nsdpxwvmo6ccsaou7q0gq/39936.pdf?rlkey=oxnmmpsehu99di6iopa8xikq1&amp;dl=0" TargetMode="External"/><Relationship Id="rId947" Type="http://schemas.openxmlformats.org/officeDocument/2006/relationships/hyperlink" Target="https://www.dropbox.com/scl/fi/a5rnvmeqv8rbihlp9gvud/41682.pdf?rlkey=t3c6so88iit02gjepfanld2nk&amp;dl=0" TargetMode="External"/><Relationship Id="rId76" Type="http://schemas.openxmlformats.org/officeDocument/2006/relationships/hyperlink" Target="https://www.dropbox.com/scl/fi/r4xcvq74m5yeibif2cp9e/41114.pdf?rlkey=sub90wgrnodqr4w8fz6b47tlo&amp;dl=0" TargetMode="External"/><Relationship Id="rId141" Type="http://schemas.openxmlformats.org/officeDocument/2006/relationships/hyperlink" Target="https://www.dropbox.com/scl/fi/c1g4obku6vhi98jzkvcoq/41156.pdf?rlkey=qbr8z2gksc1tbc5zbzdcotkj6&amp;dl=0" TargetMode="External"/><Relationship Id="rId379" Type="http://schemas.openxmlformats.org/officeDocument/2006/relationships/hyperlink" Target="https://www.dropbox.com/scl/fi/v6kys112y4ei7izkon67v/39700.pdf?rlkey=t6yvl2hie3amn93ygtmz9rjgx&amp;dl=0" TargetMode="External"/><Relationship Id="rId586" Type="http://schemas.openxmlformats.org/officeDocument/2006/relationships/hyperlink" Target="https://www.dropbox.com/scl/fi/fzc4wimao9rp90rt2r2a8/40106.pdf?rlkey=lks65glyhnbtucwlzn24e0op9&amp;dl=0" TargetMode="External"/><Relationship Id="rId793" Type="http://schemas.openxmlformats.org/officeDocument/2006/relationships/hyperlink" Target="https://www.dropbox.com/scl/fi/ym8yo54p3q1ohju9wrsr1/40918.pdf?rlkey=umub830r0myhion3m77p7mykb&amp;dl=0" TargetMode="External"/><Relationship Id="rId807" Type="http://schemas.openxmlformats.org/officeDocument/2006/relationships/hyperlink" Target="https://www.dropbox.com/scl/fi/sdswsv7zga7fdatfldlm2/40955.pdf?rlkey=4lfls4739bbgzf60zv2u2054p&amp;dl=0" TargetMode="External"/><Relationship Id="rId7" Type="http://schemas.openxmlformats.org/officeDocument/2006/relationships/hyperlink" Target="https://www.dropbox.com/scl/fi/q6j27s1i4xj2nifglhsra/41248.pdf?rlkey=uoj4zzdfeiezvlfj5351tn3hn&amp;dl=0" TargetMode="External"/><Relationship Id="rId239" Type="http://schemas.openxmlformats.org/officeDocument/2006/relationships/hyperlink" Target="https://www.dropbox.com/scl/fi/68omq9qo6hvbzfet4rfno/39478.pdf?rlkey=gz8oa54ecnef7hfpj4sdrl5ti&amp;dl=0" TargetMode="External"/><Relationship Id="rId446" Type="http://schemas.openxmlformats.org/officeDocument/2006/relationships/hyperlink" Target="https://www.dropbox.com/scl/fi/uwseg1rshqysmyhsjg1y3/39827.pdf?rlkey=utdkccs5bx2pdn0672ueaeg9j&amp;dl=0" TargetMode="External"/><Relationship Id="rId653" Type="http://schemas.openxmlformats.org/officeDocument/2006/relationships/hyperlink" Target="https://www.dropbox.com/scl/fi/k4f0hjkl2p9frr3z8mygg/40267.pdf?rlkey=gyfobw8lx592xv7p5bb23xbh9&amp;dl=0" TargetMode="External"/><Relationship Id="rId292" Type="http://schemas.openxmlformats.org/officeDocument/2006/relationships/hyperlink" Target="https://www.dropbox.com/scl/fi/19wbx59m7ayugjtch2opy/39553.pdf?rlkey=bsfu7i3ol0h2w0np21pzreaqc&amp;dl=0" TargetMode="External"/><Relationship Id="rId306" Type="http://schemas.openxmlformats.org/officeDocument/2006/relationships/hyperlink" Target="https://www.dropbox.com/scl/fi/l570oeps0v1nq25taj7gn/39572.pdf?rlkey=bqlfrlcdxa8ase97wjqud04k5&amp;dl=0" TargetMode="External"/><Relationship Id="rId860" Type="http://schemas.openxmlformats.org/officeDocument/2006/relationships/hyperlink" Target="https://www.dropbox.com/scl/fi/2k5qjfbl9cs6xts7o772f/41515.pdf?rlkey=083eg14qmfza0tpyubi27xlov&amp;dl=0" TargetMode="External"/><Relationship Id="rId958" Type="http://schemas.openxmlformats.org/officeDocument/2006/relationships/hyperlink" Target="https://www.dropbox.com/scl/fi/r0k7ugzia4jnenjisow64/41697.pdf?rlkey=unfksdjyjhltd3gexc9wo47av&amp;dl=0" TargetMode="External"/><Relationship Id="rId87" Type="http://schemas.openxmlformats.org/officeDocument/2006/relationships/hyperlink" Target="https://www.dropbox.com/scl/fi/lygytu8vuqg44azsozpg1/41078.pdf?rlkey=cxqjhnnc87dkm4o65fghddakr&amp;dl=0" TargetMode="External"/><Relationship Id="rId513" Type="http://schemas.openxmlformats.org/officeDocument/2006/relationships/hyperlink" Target="https://www.dropbox.com/scl/fi/95l2lwt1hxqtzhqe2wq1p/39963.pdf?rlkey=6jm5g4md8xs3fpzghtofguzze&amp;dl=0" TargetMode="External"/><Relationship Id="rId597" Type="http://schemas.openxmlformats.org/officeDocument/2006/relationships/hyperlink" Target="https://www.dropbox.com/scl/fi/ecm01lfy1naazlca7mj55/40135.pdf?rlkey=i18ys7vghl2vj0sx63m6hwhy8&amp;dl=0" TargetMode="External"/><Relationship Id="rId720" Type="http://schemas.openxmlformats.org/officeDocument/2006/relationships/hyperlink" Target="https://www.dropbox.com/scl/fi/79egi8m7gonctq0c9m09s/40463.pdf?rlkey=34jw9r00wwim2i15rgqrqach4&amp;dl=0" TargetMode="External"/><Relationship Id="rId818" Type="http://schemas.openxmlformats.org/officeDocument/2006/relationships/hyperlink" Target="https://www.dropbox.com/scl/fi/a1lkz9ey6gkqt9hbe3l6a/40993.pdf?rlkey=34194b04vp9pa6npsvynmf4uj&amp;dl=0" TargetMode="External"/><Relationship Id="rId152" Type="http://schemas.openxmlformats.org/officeDocument/2006/relationships/hyperlink" Target="https://www.dropbox.com/scl/fi/t4swpwc9na817go2d216h/41187.pdf?rlkey=qd77te2m1shc3hslallnxufoi&amp;dl=0" TargetMode="External"/><Relationship Id="rId457" Type="http://schemas.openxmlformats.org/officeDocument/2006/relationships/hyperlink" Target="https://www.dropbox.com/scl/fi/kfxj3rz279itjr4e1mjuu/39844.pdf?rlkey=zvgflifgvbyx3za3y9a4nilvk&amp;dl=0" TargetMode="External"/><Relationship Id="rId664" Type="http://schemas.openxmlformats.org/officeDocument/2006/relationships/hyperlink" Target="https://www.dropbox.com/scl/fi/28og92g25fkr3u8s7ju9q/40328.pdf?rlkey=g3df32z0de3bpk61vd77lez4v&amp;dl=0" TargetMode="External"/><Relationship Id="rId871" Type="http://schemas.openxmlformats.org/officeDocument/2006/relationships/hyperlink" Target="https://www.dropbox.com/scl/fi/s3cvpp2fi5wwc09wx5y2m/41537.pdf?rlkey=n9tunjmtmdeysio90on1tdt25&amp;dl=0" TargetMode="External"/><Relationship Id="rId969" Type="http://schemas.openxmlformats.org/officeDocument/2006/relationships/hyperlink" Target="https://www.dropbox.com/scl/fi/d9c4n2tix73bouzkjzic5/41716.pdf?rlkey=svlhlz8fpd2o25hhdydxmas9o&amp;dl=0" TargetMode="External"/><Relationship Id="rId14" Type="http://schemas.openxmlformats.org/officeDocument/2006/relationships/hyperlink" Target="https://www.dropbox.com/scl/fi/yfc7o5qn8t42fxunv8j36/41214.pdf?rlkey=qtv8cgi1ntr8142co08k0inyr&amp;dl=0" TargetMode="External"/><Relationship Id="rId317" Type="http://schemas.openxmlformats.org/officeDocument/2006/relationships/hyperlink" Target="https://www.dropbox.com/scl/fi/jtsgh0v2oqj1pjelo5771/39587.pdf?rlkey=6op0xash1am4kqpzxb42buujn&amp;dl=0" TargetMode="External"/><Relationship Id="rId524" Type="http://schemas.openxmlformats.org/officeDocument/2006/relationships/hyperlink" Target="https://www.dropbox.com/scl/fi/smt1aiw29jd7t2g96kmui/39981.pdf?rlkey=rg7wyrds0qg52ktw1caikwdmc&amp;dl=0" TargetMode="External"/><Relationship Id="rId731" Type="http://schemas.openxmlformats.org/officeDocument/2006/relationships/hyperlink" Target="https://www.dropbox.com/scl/fi/wo3c1q27txxf7twb4bsi9/40499.pdf?rlkey=umy2twwzyrgubstwva10q2gwn&amp;dl=0" TargetMode="External"/><Relationship Id="rId98" Type="http://schemas.openxmlformats.org/officeDocument/2006/relationships/hyperlink" Target="https://www.dropbox.com/scl/fi/f1wenooc55v3epjiavhp3/40431.pdf?rlkey=ofs9pzmgtrztm0ac00jfw3vax&amp;dl=0" TargetMode="External"/><Relationship Id="rId163" Type="http://schemas.openxmlformats.org/officeDocument/2006/relationships/hyperlink" Target="https://www.dropbox.com/scl/fi/pnzk69helbrmekoe8oco4/41220.pdf?rlkey=61r4561t5zjcm1wytrdgbc8je&amp;dl=0" TargetMode="External"/><Relationship Id="rId370" Type="http://schemas.openxmlformats.org/officeDocument/2006/relationships/hyperlink" Target="https://www.dropbox.com/scl/fi/dfdb88bsc4im8qpunors0/39689.pdf?rlkey=7c32jr23oiu2ilg1mgzqalpei&amp;dl=0" TargetMode="External"/><Relationship Id="rId829" Type="http://schemas.openxmlformats.org/officeDocument/2006/relationships/hyperlink" Target="https://www.dropbox.com/scl/fi/nv0j5g7fe5pqhfoz5d3cq/41413.pdf?rlkey=cbi70wgwerx7tq3pew9ahkowq&amp;dl=0" TargetMode="External"/><Relationship Id="rId230" Type="http://schemas.openxmlformats.org/officeDocument/2006/relationships/hyperlink" Target="https://www.dropbox.com/scl/fi/krcl0321m2b4g2cgcf85j/39460.pdf?rlkey=g6u7p6wcnz40iq6r0rhw94t9q&amp;dl=0" TargetMode="External"/><Relationship Id="rId468" Type="http://schemas.openxmlformats.org/officeDocument/2006/relationships/hyperlink" Target="https://www.dropbox.com/scl/fi/v7f5o18xgoav7ks8z0jiq/39869.pdf?rlkey=uqn0ns1qjxhadqwm59kbsis42&amp;dl=0" TargetMode="External"/><Relationship Id="rId675" Type="http://schemas.openxmlformats.org/officeDocument/2006/relationships/hyperlink" Target="https://www.dropbox.com/scl/fi/ju1azrzby447q7pm4eqie/40352.pdf?rlkey=1jjao2wuyxrv43j3sydnnco8f&amp;dl=0" TargetMode="External"/><Relationship Id="rId882" Type="http://schemas.openxmlformats.org/officeDocument/2006/relationships/hyperlink" Target="https://www.dropbox.com/scl/fi/fg30buogtnbfyesrlw8e0/41552.pdf?rlkey=ev2yy4hplv49zapl408ycptxc&amp;dl=0" TargetMode="External"/><Relationship Id="rId25" Type="http://schemas.openxmlformats.org/officeDocument/2006/relationships/hyperlink" Target="https://www.dropbox.com/scl/fi/8975tlir8ex7xg16c7yxq/41245.pdf?rlkey=urcqkjr90coo1drx39gk9g7jl&amp;dl=0" TargetMode="External"/><Relationship Id="rId328" Type="http://schemas.openxmlformats.org/officeDocument/2006/relationships/hyperlink" Target="https://www.dropbox.com/scl/fi/43a8vzyg5u2g9vcmeit1h/39606.pdf?rlkey=kav9g208ox1vt0x6aelk2sl7a&amp;dl=0" TargetMode="External"/><Relationship Id="rId535" Type="http://schemas.openxmlformats.org/officeDocument/2006/relationships/hyperlink" Target="https://www.dropbox.com/scl/fi/l5mnl9h82hg23yjdweeq7/40007.pdf?rlkey=8llyco6b4t9147hs4c4j0zbt7&amp;dl=0" TargetMode="External"/><Relationship Id="rId742" Type="http://schemas.openxmlformats.org/officeDocument/2006/relationships/hyperlink" Target="https://www.dropbox.com/scl/fi/c5k8gx05wsobm5fbhupri/40709.pdf?rlkey=salri2y727yq6q6tm7s5ei5yh&amp;dl=0" TargetMode="External"/><Relationship Id="rId174" Type="http://schemas.openxmlformats.org/officeDocument/2006/relationships/hyperlink" Target="https://www.dropbox.com/scl/fi/21bgidb51cl28hninz9nl/41290.pdf?rlkey=lsvo6oyfuf5mrsimkygddwsp7&amp;dl=0" TargetMode="External"/><Relationship Id="rId381" Type="http://schemas.openxmlformats.org/officeDocument/2006/relationships/hyperlink" Target="https://www.dropbox.com/scl/fi/0hnvi8of5754gz47o5ijs/39705.pdf?rlkey=38q1fwwqg7rcrjzn5ssnkub57&amp;dl=0" TargetMode="External"/><Relationship Id="rId602" Type="http://schemas.openxmlformats.org/officeDocument/2006/relationships/hyperlink" Target="https://www.dropbox.com/scl/fi/opo4of70tarxgvmjo17ao/40140.pdf?rlkey=99bk5bndc42xipz3npn8ly9py&amp;dl=0" TargetMode="External"/><Relationship Id="rId241" Type="http://schemas.openxmlformats.org/officeDocument/2006/relationships/hyperlink" Target="https://www.dropbox.com/scl/fi/vqhwippitvjaatsp1vvil/39481.pdf?rlkey=apb0udduilxivef6af81rwj9q&amp;dl=0" TargetMode="External"/><Relationship Id="rId479" Type="http://schemas.openxmlformats.org/officeDocument/2006/relationships/hyperlink" Target="https://www.dropbox.com/scl/fi/qj04srjyxbn5by5g38ta5/39884.pdf?rlkey=m8qbxf51g880yw3kj67tsw1ox&amp;dl=0" TargetMode="External"/><Relationship Id="rId686" Type="http://schemas.openxmlformats.org/officeDocument/2006/relationships/hyperlink" Target="https://www.dropbox.com/scl/fi/hhnp4iw8queirai8ul0dj/40380.pdf?rlkey=smuif5g5qs687n422w1vdv114&amp;dl=0" TargetMode="External"/><Relationship Id="rId893" Type="http://schemas.openxmlformats.org/officeDocument/2006/relationships/hyperlink" Target="https://www.dropbox.com/scl/fi/g2yhsr9kkb58adzi339pm/41569.pdf?rlkey=t1rmjl61h0uxj0lxjm0skkgw1&amp;dl=0" TargetMode="External"/><Relationship Id="rId907" Type="http://schemas.openxmlformats.org/officeDocument/2006/relationships/hyperlink" Target="https://www.dropbox.com/scl/fi/cop9er6mhhggf2vrf3o0i/41600.pdf?rlkey=zqwkt59oi0uqpkxsc3marvqdq&amp;dl=0" TargetMode="External"/><Relationship Id="rId36" Type="http://schemas.openxmlformats.org/officeDocument/2006/relationships/hyperlink" Target="https://www.dropbox.com/scl/fi/bbxwow7i9zz2twn6g83wq/41066.pdf?rlkey=v7eih5r6m8bwoqm8hcg1gnbip&amp;dl=0" TargetMode="External"/><Relationship Id="rId339" Type="http://schemas.openxmlformats.org/officeDocument/2006/relationships/hyperlink" Target="https://www.dropbox.com/scl/fi/qtdumnwgbfvqamkd36kg3/39642.pdf?rlkey=trea7c8kf758lxxnp2g8p0s8n&amp;dl=0" TargetMode="External"/><Relationship Id="rId546" Type="http://schemas.openxmlformats.org/officeDocument/2006/relationships/hyperlink" Target="https://www.dropbox.com/scl/fi/2dhm7movxmn3rgbbqas7j/40025.pdf?rlkey=j3rv5jqmg6f9di27v29qgttpk&amp;dl=0" TargetMode="External"/><Relationship Id="rId753" Type="http://schemas.openxmlformats.org/officeDocument/2006/relationships/hyperlink" Target="https://www.dropbox.com/scl/fi/t0mvp1n3bmqvibcu2qgk0/40759.pdf?rlkey=2ae0yd6gs8p5d9jwjw9g6qmq9&amp;dl=0" TargetMode="External"/><Relationship Id="rId101" Type="http://schemas.openxmlformats.org/officeDocument/2006/relationships/hyperlink" Target="https://www.dropbox.com/scl/fi/21cl6o9y3ehpulpoubw84/41130.pdf?rlkey=rrj3g84ohp5wg9uw69c392bal&amp;dl=0" TargetMode="External"/><Relationship Id="rId185" Type="http://schemas.openxmlformats.org/officeDocument/2006/relationships/hyperlink" Target="https://www.dropbox.com/scl/fi/it1w2o1xg3rhtwobrohrz/41306.pdf?rlkey=oj63vvwyh0nh96i2e6wkfwzke&amp;dl=0" TargetMode="External"/><Relationship Id="rId406" Type="http://schemas.openxmlformats.org/officeDocument/2006/relationships/hyperlink" Target="https://www.dropbox.com/scl/fi/sgtbtql2dlzav5bzj412c/39763.pdf?rlkey=qgo67x0tclo52e8nafoy8yp7i&amp;dl=0" TargetMode="External"/><Relationship Id="rId960" Type="http://schemas.openxmlformats.org/officeDocument/2006/relationships/hyperlink" Target="https://www.dropbox.com/scl/fi/xd720ndx0cz9kd7wczo0t/41699.pdf?rlkey=vl48953veeb7501bq1r3dul61&amp;dl=0" TargetMode="External"/><Relationship Id="rId392" Type="http://schemas.openxmlformats.org/officeDocument/2006/relationships/hyperlink" Target="https://www.dropbox.com/scl/fi/fhqbh8u0zfti86syeyeq6/39726.pdf?rlkey=4790rmlfb3ipjo3765m65s3mo&amp;dl=0" TargetMode="External"/><Relationship Id="rId613" Type="http://schemas.openxmlformats.org/officeDocument/2006/relationships/hyperlink" Target="https://www.dropbox.com/scl/fi/i5b40wflaa1cbfjuad5zo/40157.pdf?rlkey=zgu4ywl2uog62s8d6zueq0fml&amp;dl=0" TargetMode="External"/><Relationship Id="rId697" Type="http://schemas.openxmlformats.org/officeDocument/2006/relationships/hyperlink" Target="https://www.dropbox.com/scl/fi/431k3ycd2s0688pb5hn8y/40397.pdf?rlkey=3d3fhx1vb7emzqz56f9zq0mae&amp;dl=0" TargetMode="External"/><Relationship Id="rId820" Type="http://schemas.openxmlformats.org/officeDocument/2006/relationships/hyperlink" Target="https://www.dropbox.com/scl/fi/e83rlq7h3zdxz3h16o4qj/41050.pdf?rlkey=639bk7kobffx5zehwf20r5rhi&amp;dl=0" TargetMode="External"/><Relationship Id="rId918" Type="http://schemas.openxmlformats.org/officeDocument/2006/relationships/hyperlink" Target="https://www.dropbox.com/scl/fi/gjam2hgefi37wgwmt6fs0/41611.pdf?rlkey=vi9gr1x775rh8wrtpjlgrv2cu&amp;dl=0" TargetMode="External"/><Relationship Id="rId252" Type="http://schemas.openxmlformats.org/officeDocument/2006/relationships/hyperlink" Target="https://www.dropbox.com/scl/fi/b4842owc4v9f63p8o7ttf/39496.pdf?rlkey=xgmu8pjyg95mw6s4r1nyd8yx9&amp;dl=0" TargetMode="External"/><Relationship Id="rId47" Type="http://schemas.openxmlformats.org/officeDocument/2006/relationships/hyperlink" Target="https://www.dropbox.com/scl/fi/wl464mmcds6bnjesxdkhe/40761.pdf?rlkey=y2xh1n38843dd8paxwhrkjtwa&amp;dl=0" TargetMode="External"/><Relationship Id="rId112" Type="http://schemas.openxmlformats.org/officeDocument/2006/relationships/hyperlink" Target="https://www.dropbox.com/scl/fi/o7rnnbqq4o9espplgn5rf/40816.pdf?rlkey=d8odal55dpw2u1qcligu1xquv&amp;dl=0" TargetMode="External"/><Relationship Id="rId557" Type="http://schemas.openxmlformats.org/officeDocument/2006/relationships/hyperlink" Target="https://www.dropbox.com/scl/fi/rg51xft4ii6qx1exokgbc/40054.pdf?rlkey=5eo8uny4s5p3k2se7q3j3j08q&amp;dl=0" TargetMode="External"/><Relationship Id="rId764" Type="http://schemas.openxmlformats.org/officeDocument/2006/relationships/hyperlink" Target="https://www.dropbox.com/scl/fi/1heuis4cwusybwoxh6qjp/40807.pdf?rlkey=wdp4fmq9uehdjes9adwr2na3h&amp;dl=0" TargetMode="External"/><Relationship Id="rId196" Type="http://schemas.openxmlformats.org/officeDocument/2006/relationships/hyperlink" Target="../../../../../Containers/com.microsoft.Excel/Data/Library/Application%20Support/01%202025/Dog/39336.pdf" TargetMode="External"/><Relationship Id="rId417" Type="http://schemas.openxmlformats.org/officeDocument/2006/relationships/hyperlink" Target="https://www.dropbox.com/scl/fi/r9nyv4rvwj8yoegca9tgm/39780.pdf?rlkey=ltpv7vbo69yr1vr1220mqse9r&amp;dl=0" TargetMode="External"/><Relationship Id="rId624" Type="http://schemas.openxmlformats.org/officeDocument/2006/relationships/hyperlink" Target="https://www.dropbox.com/scl/fi/lda5cyg6j5vj0jslq81wk/40172.pdf?rlkey=q8aa97vnfdrryy9g249uwgpxe&amp;dl=0" TargetMode="External"/><Relationship Id="rId831" Type="http://schemas.openxmlformats.org/officeDocument/2006/relationships/hyperlink" Target="https://www.dropbox.com/scl/fi/v5cg5sjxi3hga1bv5fman/41415.pdf?rlkey=pgwpnapujpliq4iryto1mf815&amp;dl=0" TargetMode="External"/><Relationship Id="rId263" Type="http://schemas.openxmlformats.org/officeDocument/2006/relationships/hyperlink" Target="https://www.dropbox.com/scl/fi/0jkoqggr8zgr13ekk5l7q/39510.pdf?rlkey=cqvf89x5w5xb15a5477b80dwj&amp;dl=0" TargetMode="External"/><Relationship Id="rId470" Type="http://schemas.openxmlformats.org/officeDocument/2006/relationships/hyperlink" Target="https://www.dropbox.com/scl/fi/9vu0voqnzrlkqcq4sehl1/39872.pdf?rlkey=ovsw6qx91vk0euakvkg7qq2l7&amp;dl=0" TargetMode="External"/><Relationship Id="rId929" Type="http://schemas.openxmlformats.org/officeDocument/2006/relationships/hyperlink" Target="https://www.dropbox.com/scl/fi/6i28siw6hv6elg87iyzyu/41643.pdf?rlkey=umxqptks5ibbjq75d52pwljzf&amp;dl=0" TargetMode="External"/><Relationship Id="rId58" Type="http://schemas.openxmlformats.org/officeDocument/2006/relationships/hyperlink" Target="https://www.dropbox.com/scl/fi/fsfh664j5k7rxp768ri3b/41232.pdf?rlkey=3tbrkdhwmnxc95e50i16h46eu&amp;dl=0" TargetMode="External"/><Relationship Id="rId123" Type="http://schemas.openxmlformats.org/officeDocument/2006/relationships/hyperlink" Target="https://www.dropbox.com/scl/fi/140d8rnjynlstb1u0dli1/41043.pdf?rlkey=x6hhdejnrb334o2eg2vmx18wn&amp;dl=0" TargetMode="External"/><Relationship Id="rId330" Type="http://schemas.openxmlformats.org/officeDocument/2006/relationships/hyperlink" Target="https://www.dropbox.com/scl/fi/gjkdu1zcxi90i4b3y81d9/39621.pdf?rlkey=8fhu2mo3tvhijp4i7f6cz512u&amp;dl=0" TargetMode="External"/><Relationship Id="rId568" Type="http://schemas.openxmlformats.org/officeDocument/2006/relationships/hyperlink" Target="https://www.dropbox.com/scl/fi/4xgtg2bti3pncugauqpk6/40081.pdf?rlkey=60y1egr97bia7usjnn5zslhxk&amp;dl=0" TargetMode="External"/><Relationship Id="rId775" Type="http://schemas.openxmlformats.org/officeDocument/2006/relationships/hyperlink" Target="https://www.dropbox.com/scl/fi/zsikt7iwpiuu3gcu6d8gp/40868.pdf?rlkey=b2ookkti92s4yuzngk95k49q8&amp;dl=0" TargetMode="External"/><Relationship Id="rId428" Type="http://schemas.openxmlformats.org/officeDocument/2006/relationships/hyperlink" Target="https://www.dropbox.com/scl/fi/alhmwc7tacgya2qt2j94j/39796.pdf?rlkey=rjwwc85z3m750y3fmfnthad2b&amp;dl=0" TargetMode="External"/><Relationship Id="rId635" Type="http://schemas.openxmlformats.org/officeDocument/2006/relationships/hyperlink" Target="https://www.dropbox.com/scl/fi/aziwor0ez8raq09soo8bf/40247.pdf?rlkey=77l2kfps0pu6f8pysav2y5ecg&amp;dl=0" TargetMode="External"/><Relationship Id="rId842" Type="http://schemas.openxmlformats.org/officeDocument/2006/relationships/hyperlink" Target="https://www.dropbox.com/scl/fi/simvs8ls6yyvn45gl0y4v/41452.pdf?rlkey=ww91z0w19guuqhk7adcr7dn6n&amp;dl=0" TargetMode="External"/><Relationship Id="rId274" Type="http://schemas.openxmlformats.org/officeDocument/2006/relationships/hyperlink" Target="https://www.dropbox.com/scl/fi/7l0bjzwceisperqu85zql/39524.pdf?rlkey=njsfk8455lc5cydmo0tep5no1&amp;dl=0" TargetMode="External"/><Relationship Id="rId481" Type="http://schemas.openxmlformats.org/officeDocument/2006/relationships/hyperlink" Target="https://www.dropbox.com/scl/fi/9pppmsf4vdbrpk6h2cplk/39886.pdf?rlkey=5t0t90gu8n0kzvnap6zh1pp7k&amp;dl=0" TargetMode="External"/><Relationship Id="rId702" Type="http://schemas.openxmlformats.org/officeDocument/2006/relationships/hyperlink" Target="https://www.dropbox.com/scl/fi/0iibt627babxbmarmhlo2/40406.pdf?rlkey=xt3b4oh0t4h22cv279yg68xbw&amp;dl=0" TargetMode="External"/><Relationship Id="rId69" Type="http://schemas.openxmlformats.org/officeDocument/2006/relationships/hyperlink" Target="https://www.dropbox.com/scl/fi/wjlsjmlt6c0qk2n0isyj5/41201.pdf?rlkey=co16em26qqgpwckkzs8z1axjc&amp;dl=0" TargetMode="External"/><Relationship Id="rId134" Type="http://schemas.openxmlformats.org/officeDocument/2006/relationships/hyperlink" Target="https://www.dropbox.com/scl/fi/hfsx7vof4w20cbzkv9ue5/41113.pdf?rlkey=hz8a9cgez6noru60lpzly71my&amp;dl=0" TargetMode="External"/><Relationship Id="rId579" Type="http://schemas.openxmlformats.org/officeDocument/2006/relationships/hyperlink" Target="https://www.dropbox.com/scl/fi/x95mwiksl7s2sgj3wausj/40094.pdf?rlkey=3kn61tsgjdxi054fm2tbvnjbm&amp;dl=0" TargetMode="External"/><Relationship Id="rId786" Type="http://schemas.openxmlformats.org/officeDocument/2006/relationships/hyperlink" Target="https://www.dropbox.com/scl/fi/5gruczdmd1xcd37zqlb0t/40904.pdf?rlkey=zbja1hmd66yq5quo8z6s91cdu&amp;dl=0" TargetMode="External"/><Relationship Id="rId341" Type="http://schemas.openxmlformats.org/officeDocument/2006/relationships/hyperlink" Target="https://www.dropbox.com/scl/fi/lxp3ujtldk9z9uce8hhaq/39644.pdf?rlkey=sst8eih965c64olqq7jqviq3i&amp;dl=0" TargetMode="External"/><Relationship Id="rId439" Type="http://schemas.openxmlformats.org/officeDocument/2006/relationships/hyperlink" Target="https://www.dropbox.com/scl/fi/qjwd99qa4k9tlg0xy9jb8/39819.pdf?rlkey=au1u18b78iyx0skuaojlbrvuc&amp;dl=0" TargetMode="External"/><Relationship Id="rId646" Type="http://schemas.openxmlformats.org/officeDocument/2006/relationships/hyperlink" Target="https://www.dropbox.com/scl/fi/g3fgaw1pdqlcfeoufsuzz/40258.pdf?rlkey=ouu4wz3drblhaa64huk33i139&amp;dl=0" TargetMode="External"/><Relationship Id="rId201" Type="http://schemas.openxmlformats.org/officeDocument/2006/relationships/hyperlink" Target="https://www.dropbox.com/scl/fi/i3k0oum1k5sr5um39ujhk/39414.pdf?rlkey=jsf339wn7hx7h2wvskimgrr0h&amp;dl=0" TargetMode="External"/><Relationship Id="rId285" Type="http://schemas.openxmlformats.org/officeDocument/2006/relationships/hyperlink" Target="https://www.dropbox.com/scl/fi/b7mzac5h8rpv3d32cfodj/39546.pdf?rlkey=qxleb6bk4lvkwe3u9i6jpih8m&amp;dl=0" TargetMode="External"/><Relationship Id="rId506" Type="http://schemas.openxmlformats.org/officeDocument/2006/relationships/hyperlink" Target="https://www.dropbox.com/scl/fi/cgc07qoyfii1ax20nsuzx/39941.pdf?rlkey=v5qf0u4bwz8cc06di2yw6b1db&amp;dl=0" TargetMode="External"/><Relationship Id="rId853" Type="http://schemas.openxmlformats.org/officeDocument/2006/relationships/hyperlink" Target="https://www.dropbox.com/scl/fi/du2ncyz1tdn3upvvxvn4v/41496.pdf?rlkey=gxgzozqok5ebk02zhonfcu8k4&amp;dl=0" TargetMode="External"/><Relationship Id="rId492" Type="http://schemas.openxmlformats.org/officeDocument/2006/relationships/hyperlink" Target="https://www.dropbox.com/scl/fi/dft62u21iao4c2ei7oemc/39913.pdf?rlkey=mmdcutx3lwpwrdy88qcv1u0pf&amp;dl=0" TargetMode="External"/><Relationship Id="rId713" Type="http://schemas.openxmlformats.org/officeDocument/2006/relationships/hyperlink" Target="https://www.dropbox.com/scl/fi/aabnewofgc5psqnizrmha/40433.pdf?rlkey=uh0kn9dh8zt1c7kawbtneo1cx&amp;dl=0" TargetMode="External"/><Relationship Id="rId797" Type="http://schemas.openxmlformats.org/officeDocument/2006/relationships/hyperlink" Target="https://www.dropbox.com/scl/fi/sm481l9el4i9mj048rfkx/40923.pdf?rlkey=pfaq0w60dk3sd8k47koojhi6q&amp;dl=0" TargetMode="External"/><Relationship Id="rId920" Type="http://schemas.openxmlformats.org/officeDocument/2006/relationships/hyperlink" Target="https://www.dropbox.com/scl/fi/8ozbuacpfo9bu9bahtab1/41624.pdf?rlkey=dpdtxdhixx32m21zl4vc4pl3c&amp;dl=0" TargetMode="External"/><Relationship Id="rId145" Type="http://schemas.openxmlformats.org/officeDocument/2006/relationships/hyperlink" Target="https://www.dropbox.com/scl/fi/57vvzs8miqxsj144qimxa/41166.pdf?rlkey=m58yos45po41pq6wpvx3nxeic&amp;dl=0" TargetMode="External"/><Relationship Id="rId352" Type="http://schemas.openxmlformats.org/officeDocument/2006/relationships/hyperlink" Target="https://www.dropbox.com/scl/fi/0006foimqsa6zk9ym3rkh/39664.pdf?rlkey=uzarwrnpvb5ls197fuxqizz90&amp;dl=0" TargetMode="External"/><Relationship Id="rId212" Type="http://schemas.openxmlformats.org/officeDocument/2006/relationships/hyperlink" Target="https://www.dropbox.com/scl/fi/d4vtc8vyyulsvxwpg2l6u/39431.pdf?rlkey=d1m1gtepepzrq5a3ajx92ixld&amp;dl=0" TargetMode="External"/><Relationship Id="rId657" Type="http://schemas.openxmlformats.org/officeDocument/2006/relationships/hyperlink" Target="https://www.dropbox.com/scl/fi/jqcdq1b9l0qkp6n7n9x1d/40274.pdf?rlkey=0oyrt8z8wqsti5dvp4925mimv&amp;dl=0" TargetMode="External"/><Relationship Id="rId864" Type="http://schemas.openxmlformats.org/officeDocument/2006/relationships/hyperlink" Target="https://www.dropbox.com/scl/fi/uz52im4iohfcm96ppd2m4/41526.pdf?rlkey=xv7wi2i1yspjd7l4rc49g3t3l&amp;dl=0" TargetMode="External"/><Relationship Id="rId296" Type="http://schemas.openxmlformats.org/officeDocument/2006/relationships/hyperlink" Target="https://www.dropbox.com/scl/fi/kluuumwttd9eok6en50fm/39558.pdf?rlkey=yprj4azxcpywdngj82fyiru9e&amp;dl=0" TargetMode="External"/><Relationship Id="rId517" Type="http://schemas.openxmlformats.org/officeDocument/2006/relationships/hyperlink" Target="https://www.dropbox.com/scl/fi/ng2w5hr34v7d6behirzge/39971.pdf?rlkey=ackc4f32swg2hbh0otryllt43&amp;dl=0" TargetMode="External"/><Relationship Id="rId724" Type="http://schemas.openxmlformats.org/officeDocument/2006/relationships/hyperlink" Target="https://www.dropbox.com/scl/fi/nf4st8u5qhlmwlogiqwln/40475.pdf?rlkey=0wgzufvakomgrgxx4xhd7qw97&amp;dl=0" TargetMode="External"/><Relationship Id="rId931" Type="http://schemas.openxmlformats.org/officeDocument/2006/relationships/hyperlink" Target="https://www.dropbox.com/scl/fi/pzx2rnbp7t6vdgsfzr8ea/41649.pdf?rlkey=2a6wqrxv6k8h3h44u41bc616k&amp;dl=0" TargetMode="External"/><Relationship Id="rId60" Type="http://schemas.openxmlformats.org/officeDocument/2006/relationships/hyperlink" Target="https://www.dropbox.com/scl/fi/97r39yzt487vxqwdd7bmm/41288.pdf?rlkey=lmdithpr4ss9xa2hueycpge0c&amp;dl=0" TargetMode="External"/><Relationship Id="rId156" Type="http://schemas.openxmlformats.org/officeDocument/2006/relationships/hyperlink" Target="https://www.dropbox.com/scl/fi/5ykphkicoyisd6n3271cx/41191.pdf?rlkey=23intokgxqf87pjgz8wzg7rab&amp;dl=0" TargetMode="External"/><Relationship Id="rId363" Type="http://schemas.openxmlformats.org/officeDocument/2006/relationships/hyperlink" Target="https://www.dropbox.com/scl/fi/42vbqys6pzo8jjum8g5sm/39682.pdf?rlkey=afl9kh9or0kmt7xz6dqqwr80w&amp;dl=0" TargetMode="External"/><Relationship Id="rId570" Type="http://schemas.openxmlformats.org/officeDocument/2006/relationships/hyperlink" Target="https://www.dropbox.com/scl/fi/8zexth77k07wjrqfq8yk5/40084.pdf?rlkey=ahw9pg8dfg4kq47n4l8jgim6u&amp;dl=0" TargetMode="External"/><Relationship Id="rId223" Type="http://schemas.openxmlformats.org/officeDocument/2006/relationships/hyperlink" Target="https://www.dropbox.com/scl/fi/n1pztn3bjbotnf7fejrk6/39453.pdf?rlkey=o0kwo5584e2sx3p2wot37mkx8&amp;dl=0" TargetMode="External"/><Relationship Id="rId430" Type="http://schemas.openxmlformats.org/officeDocument/2006/relationships/hyperlink" Target="https://www.dropbox.com/scl/fi/gu6cqc5ku5xpe50tk0coe/39798.pdf?rlkey=msjjez0xvhcew1n0smobmif2w&amp;dl=0" TargetMode="External"/><Relationship Id="rId668" Type="http://schemas.openxmlformats.org/officeDocument/2006/relationships/hyperlink" Target="https://www.dropbox.com/scl/fi/a57gin8e9eotkbdppqt3g/40332.pdf?rlkey=magbl4nzh3dnjqwpchyupn84w&amp;dl=0" TargetMode="External"/><Relationship Id="rId875" Type="http://schemas.openxmlformats.org/officeDocument/2006/relationships/hyperlink" Target="https://www.dropbox.com/scl/fi/729d6rqg3pq8u5x95q3ne/41541.pdf?rlkey=lxtstb7js5skku9301oxxbg4f&amp;dl=0" TargetMode="External"/><Relationship Id="rId18" Type="http://schemas.openxmlformats.org/officeDocument/2006/relationships/hyperlink" Target="https://www.dropbox.com/scl/fi/ohfnxnxphsxr1ia1g36z7/41335.pdf?rlkey=grmi7voul9ui2i1rob09qcuq3&amp;dl=0" TargetMode="External"/><Relationship Id="rId528" Type="http://schemas.openxmlformats.org/officeDocument/2006/relationships/hyperlink" Target="https://www.dropbox.com/scl/fi/y0m4y725nrw55pmabr3un/39987.pdf?rlkey=z33xfdh2kuyozip9m3h2zl8xe&amp;dl=0" TargetMode="External"/><Relationship Id="rId735" Type="http://schemas.openxmlformats.org/officeDocument/2006/relationships/hyperlink" Target="https://www.dropbox.com/scl/fi/lzks52z7023nzgq86z4no/40533.pdf?rlkey=umgrnelpyun146hudlq6v9f8m&amp;dl=0" TargetMode="External"/><Relationship Id="rId942" Type="http://schemas.openxmlformats.org/officeDocument/2006/relationships/hyperlink" Target="https://www.dropbox.com/scl/fi/3g0dpeht8rvdbtn0en906/41673.pdf?rlkey=4p0hxbksi88g6lfx3cxtnovwz&amp;dl=0" TargetMode="External"/><Relationship Id="rId167" Type="http://schemas.openxmlformats.org/officeDocument/2006/relationships/hyperlink" Target="https://www.dropbox.com/scl/fi/mwd0c4uphuneqj6kjjy5v/41224.pdf?rlkey=gf93az8e3esv4g222iwmsei35&amp;dl=0" TargetMode="External"/><Relationship Id="rId374" Type="http://schemas.openxmlformats.org/officeDocument/2006/relationships/hyperlink" Target="https://www.dropbox.com/scl/fi/zjmnt3rpj6cv54fik2sp1/39694.pdf?rlkey=8nt1blx9yb6dkltsgjxt3dfme&amp;dl=0" TargetMode="External"/><Relationship Id="rId581" Type="http://schemas.openxmlformats.org/officeDocument/2006/relationships/hyperlink" Target="https://www.dropbox.com/scl/fi/bngqo40ultcj15npxc1zn/40097.pdf?rlkey=jm2fbgrnujyqfvlmgixyzmq4d&amp;dl=0" TargetMode="External"/><Relationship Id="rId71" Type="http://schemas.openxmlformats.org/officeDocument/2006/relationships/hyperlink" Target="https://www.dropbox.com/scl/fi/793w32kbmajt9knz4ueae/40354.pdf?rlkey=qnu5nncft8bvtus5rqlktxrxc&amp;dl=0" TargetMode="External"/><Relationship Id="rId234" Type="http://schemas.openxmlformats.org/officeDocument/2006/relationships/hyperlink" Target="https://www.dropbox.com/scl/fi/0te5851f28g4e2540pkzo/39468.pdf?rlkey=nhocujcr1awubws2shi1gfbhr&amp;dl=0" TargetMode="External"/><Relationship Id="rId679" Type="http://schemas.openxmlformats.org/officeDocument/2006/relationships/hyperlink" Target="https://www.dropbox.com/scl/fi/hff79bhi74f4atnm5tadv/40358.pdf?rlkey=o2y2b9auhimdwrmm2glsf1r6q&amp;dl=0" TargetMode="External"/><Relationship Id="rId802" Type="http://schemas.openxmlformats.org/officeDocument/2006/relationships/hyperlink" Target="https://www.dropbox.com/scl/fi/nh6durjd0ahz4t94gz7xq/40944.pdf?rlkey=d26o3jalz7921ttouht3utgma&amp;dl=0" TargetMode="External"/><Relationship Id="rId886" Type="http://schemas.openxmlformats.org/officeDocument/2006/relationships/hyperlink" Target="https://www.dropbox.com/scl/fi/abepzo7ayqw10jbabid9o/41557.pdf?rlkey=1zfm7a4ydzvenf06qchd0ftj6&amp;dl=0" TargetMode="External"/><Relationship Id="rId2" Type="http://schemas.openxmlformats.org/officeDocument/2006/relationships/hyperlink" Target="https://www.dropbox.com/scl/fi/3ef2uq3mboc9jku4t2zj6/41074.pdf?rlkey=wtqwk3ilgyez46oz5my91z7iv&amp;dl=0" TargetMode="External"/><Relationship Id="rId29" Type="http://schemas.openxmlformats.org/officeDocument/2006/relationships/hyperlink" Target="https://www.dropbox.com/scl/fi/d4rptyimospphzs4kzjn1/41348.pdf?rlkey=2ct8klygnfoqnc2nnzaoqdeyj&amp;dl=0" TargetMode="External"/><Relationship Id="rId441" Type="http://schemas.openxmlformats.org/officeDocument/2006/relationships/hyperlink" Target="https://www.dropbox.com/scl/fi/bqejk4newu0pwa5ergs70/39821.pdf?rlkey=ho1bcpjxeb7n4m0fs3984is36&amp;dl=0" TargetMode="External"/><Relationship Id="rId539" Type="http://schemas.openxmlformats.org/officeDocument/2006/relationships/hyperlink" Target="https://www.dropbox.com/scl/fi/6cqi75y3qas65jypc2x38/40015.pdf?rlkey=goxqho0vtn7owoub135z95647&amp;dl=0" TargetMode="External"/><Relationship Id="rId746" Type="http://schemas.openxmlformats.org/officeDocument/2006/relationships/hyperlink" Target="https://www.dropbox.com/scl/fi/6zst7lfz8rsgx5zgn8c4q/40726.pdf?rlkey=2pk4oczirdkid92t7mbwe9ijh&amp;dl=0" TargetMode="External"/><Relationship Id="rId178" Type="http://schemas.openxmlformats.org/officeDocument/2006/relationships/hyperlink" Target="https://www.dropbox.com/scl/fi/t1sc0ikmy9a28y0lsqki1/41296.pdf?rlkey=xclt5xayat9ta3f3owm7qe3rs&amp;dl=0" TargetMode="External"/><Relationship Id="rId301" Type="http://schemas.openxmlformats.org/officeDocument/2006/relationships/hyperlink" Target="https://www.dropbox.com/scl/fi/4cd02y4k9kkgmsfd4r0zg/39567.pdf?rlkey=ya2ii5xg190lj4okt5bvahyx2&amp;dl=0" TargetMode="External"/><Relationship Id="rId953" Type="http://schemas.openxmlformats.org/officeDocument/2006/relationships/hyperlink" Target="https://www.dropbox.com/scl/fi/zrlqgkqgoxcpdu5n7puna/41688.pdf?rlkey=h4sqri35m3yl8cd28a46culs4&amp;dl=0" TargetMode="External"/><Relationship Id="rId82" Type="http://schemas.openxmlformats.org/officeDocument/2006/relationships/hyperlink" Target="https://www.dropbox.com/scl/fi/35b8eigzqlyy6d4sv0f95/41250.pdf?rlkey=zswv5fzslkmal6qga5ouzjp4i&amp;dl=0" TargetMode="External"/><Relationship Id="rId385" Type="http://schemas.openxmlformats.org/officeDocument/2006/relationships/hyperlink" Target="https://www.dropbox.com/scl/fi/ityn8oxuzbj59bac3l8d6/39711.pdf?rlkey=mhdr38lj9zvmrybmq31o9tn8g&amp;dl=0" TargetMode="External"/><Relationship Id="rId592" Type="http://schemas.openxmlformats.org/officeDocument/2006/relationships/hyperlink" Target="https://www.dropbox.com/scl/fi/t1774fg6ggngc9lpenkqh/40116.pdf?rlkey=awfqh3qb4nujbhiqy7mkyo74g&amp;dl=0" TargetMode="External"/><Relationship Id="rId606" Type="http://schemas.openxmlformats.org/officeDocument/2006/relationships/hyperlink" Target="https://www.dropbox.com/scl/fi/l58af8st9csoqzf7bu88k/40147.pdf?rlkey=u9xv3gcwhrjnjvgolxwocr17i&amp;dl=0" TargetMode="External"/><Relationship Id="rId813" Type="http://schemas.openxmlformats.org/officeDocument/2006/relationships/hyperlink" Target="https://www.dropbox.com/scl/fi/oyu4h1t4fcorpfxufwdv1/40974.pdf?rlkey=e0yzs1aa2yu0cotg9d8hjb44p&amp;dl=0" TargetMode="External"/><Relationship Id="rId245" Type="http://schemas.openxmlformats.org/officeDocument/2006/relationships/hyperlink" Target="https://www.dropbox.com/scl/fi/j9plrobeizcisde0gscqo/39488.pdf?rlkey=h4xxj2q9xb600j3w2ek7lk8pz&amp;dl=0" TargetMode="External"/><Relationship Id="rId452" Type="http://schemas.openxmlformats.org/officeDocument/2006/relationships/hyperlink" Target="https://www.dropbox.com/scl/fi/o1kfo6mlp57d11t29cv8e/39838.pdf?rlkey=svwusu7v556x8m96vyfhcsdns&amp;dl=0" TargetMode="External"/><Relationship Id="rId897" Type="http://schemas.openxmlformats.org/officeDocument/2006/relationships/hyperlink" Target="https://www.dropbox.com/scl/fi/9omfhfsryqy3zk9q957ky/41579.pdf?rlkey=25nkzps0fvoiwvxl1ri1rtp9v&amp;dl=0" TargetMode="External"/><Relationship Id="rId105" Type="http://schemas.openxmlformats.org/officeDocument/2006/relationships/hyperlink" Target="https://www.dropbox.com/scl/fi/40jf1jeynz57qy7qmssrq/40273.pdf?rlkey=tp8f6wq9857qlky67z333gu8y&amp;dl=0" TargetMode="External"/><Relationship Id="rId312" Type="http://schemas.openxmlformats.org/officeDocument/2006/relationships/hyperlink" Target="https://www.dropbox.com/scl/fi/eqm01pfwpu4z71r9lfmln/39580.pdf?rlkey=cvs8quh8wuvonxq26z7ynkuet&amp;dl=0" TargetMode="External"/><Relationship Id="rId757" Type="http://schemas.openxmlformats.org/officeDocument/2006/relationships/hyperlink" Target="https://www.dropbox.com/scl/fi/7ra67lg68xtjme3mgsu6o/40778.pdf?rlkey=hcf9zdheeedvu4kpkhq7bchrq&amp;dl=0" TargetMode="External"/><Relationship Id="rId964" Type="http://schemas.openxmlformats.org/officeDocument/2006/relationships/hyperlink" Target="https://www.dropbox.com/scl/fi/iza817569e4gkreygny0e/41703.pdf?rlkey=tmk397f7pw81bu8ijq5npdc56&amp;dl=0" TargetMode="External"/><Relationship Id="rId93" Type="http://schemas.openxmlformats.org/officeDocument/2006/relationships/hyperlink" Target="https://www.dropbox.com/scl/fi/tpi65gvpsj8u4e9v1mzx7/41303.pdf?rlkey=5oikjk2ogvtnl92edvtovd8mc&amp;dl=0" TargetMode="External"/><Relationship Id="rId189" Type="http://schemas.openxmlformats.org/officeDocument/2006/relationships/hyperlink" Target="https://www.dropbox.com/scl/fi/h76rxw5w1872my5xtuv6q/41339.pdf?rlkey=5gchnpj86mvov9bdsrwd9sbf7&amp;dl=0" TargetMode="External"/><Relationship Id="rId396" Type="http://schemas.openxmlformats.org/officeDocument/2006/relationships/hyperlink" Target="https://www.dropbox.com/scl/fi/gnoo252p58d4thvsmnf8w/39744.pdf?rlkey=m0kaxi7133c58jvw08iuxyg1z&amp;dl=0" TargetMode="External"/><Relationship Id="rId617" Type="http://schemas.openxmlformats.org/officeDocument/2006/relationships/hyperlink" Target="https://www.dropbox.com/scl/fi/y9rcdkgho5vkvlqav5ytv/40162.pdf?rlkey=zz7r440rslym3tol12g0lnez2&amp;dl=0" TargetMode="External"/><Relationship Id="rId824" Type="http://schemas.openxmlformats.org/officeDocument/2006/relationships/hyperlink" Target="https://www.dropbox.com/scl/fi/nr0rmi79kfzuqj2dufqum/41399.pdf?rlkey=l3momc1nq89h6fz9bqu0qrnhx&amp;dl=0" TargetMode="External"/><Relationship Id="rId256" Type="http://schemas.openxmlformats.org/officeDocument/2006/relationships/hyperlink" Target="https://www.dropbox.com/scl/fi/emt1fg6v49asem4wl3hnb/39500.pdf?rlkey=kimikhc1upwwrob8kzhodte5x&amp;dl=0" TargetMode="External"/><Relationship Id="rId463" Type="http://schemas.openxmlformats.org/officeDocument/2006/relationships/hyperlink" Target="https://www.dropbox.com/scl/fi/0t21i1mqgkfh1q6s9cz6q/39855.pdf?rlkey=guvobw8ze2nsmlvrnyi3qzvbp&amp;dl=0" TargetMode="External"/><Relationship Id="rId670" Type="http://schemas.openxmlformats.org/officeDocument/2006/relationships/hyperlink" Target="https://www.dropbox.com/scl/fi/crwogrhk0fxf41g16hbu6/40335.pdf?rlkey=hm8kfpb9w9fhsexigq3b10py1&amp;dl=0" TargetMode="External"/><Relationship Id="rId116" Type="http://schemas.openxmlformats.org/officeDocument/2006/relationships/hyperlink" Target="https://www.dropbox.com/scl/fi/h3l7vhobiw9w3cf92wum6/40820.pdf?rlkey=z4caa0i3finc2t9wzgswedstw&amp;dl=0" TargetMode="External"/><Relationship Id="rId323" Type="http://schemas.openxmlformats.org/officeDocument/2006/relationships/hyperlink" Target="https://www.dropbox.com/scl/fi/l4mlzt7cwzqugnxp9vwl8/39600.pdf?rlkey=quzcvzynve1yo47gytc8fi2ea&amp;dl=0" TargetMode="External"/><Relationship Id="rId530" Type="http://schemas.openxmlformats.org/officeDocument/2006/relationships/hyperlink" Target="https://www.dropbox.com/scl/fi/ij8ongu6z6o8ene41fbmg/39990.pdf?rlkey=58lgbf0j851oxhut2cki9zmh3&amp;dl=0" TargetMode="External"/><Relationship Id="rId768" Type="http://schemas.openxmlformats.org/officeDocument/2006/relationships/hyperlink" Target="https://www.dropbox.com/scl/fi/3vorn5uu99a97v6fnxn87/40826.pdf?rlkey=rmnpu3p8q50y705jo2b4l6gmo&amp;dl=0" TargetMode="External"/><Relationship Id="rId20" Type="http://schemas.openxmlformats.org/officeDocument/2006/relationships/hyperlink" Target="https://www.dropbox.com/scl/fi/bymtycd04bji0ex8z4sdp/41308.pdf?rlkey=fjrko2wqzxr8q2fb3xmlns4xw&amp;dl=0" TargetMode="External"/><Relationship Id="rId628" Type="http://schemas.openxmlformats.org/officeDocument/2006/relationships/hyperlink" Target="https://www.dropbox.com/scl/fi/6ohkrsms7wsf9wrq9ntwf/40210.pdf?rlkey=9xbn39lk7oa8wya3pomb3truf&amp;dl=0" TargetMode="External"/><Relationship Id="rId835" Type="http://schemas.openxmlformats.org/officeDocument/2006/relationships/hyperlink" Target="https://www.dropbox.com/scl/fi/nav9brhnctdqq19aizby1/41437.pdf?rlkey=2miom7plcu0rvml6zlg14ggya&amp;dl=0" TargetMode="External"/><Relationship Id="rId267" Type="http://schemas.openxmlformats.org/officeDocument/2006/relationships/hyperlink" Target="https://www.dropbox.com/scl/fi/ku9ivdf2c172z0sqt9qvk/39515.pdf?rlkey=ela306qwmsx1647ce4m80k4qt&amp;dl=0" TargetMode="External"/><Relationship Id="rId474" Type="http://schemas.openxmlformats.org/officeDocument/2006/relationships/hyperlink" Target="https://www.dropbox.com/scl/fi/co8ikoqacc0x9nab882gi/39877.pdf?rlkey=yz7ao4hvvmx37qsyam07mk13h&amp;dl=0" TargetMode="External"/><Relationship Id="rId127" Type="http://schemas.openxmlformats.org/officeDocument/2006/relationships/hyperlink" Target="https://www.dropbox.com/scl/fi/6axwi4xfvwoq5cengfnnz/41080.pdf?rlkey=36yquyxpwrx03mbnwr8980qh9&amp;dl=0" TargetMode="External"/><Relationship Id="rId681" Type="http://schemas.openxmlformats.org/officeDocument/2006/relationships/hyperlink" Target="https://www.dropbox.com/scl/fi/aub7l5seeet1z5w4q2897/40363.pdf?rlkey=ikz2zj7tbhojth5tbi2z1udrv&amp;dl=0" TargetMode="External"/><Relationship Id="rId779" Type="http://schemas.openxmlformats.org/officeDocument/2006/relationships/hyperlink" Target="https://www.dropbox.com/scl/fi/jzd3wjp954y23kjziq77f/40883.pdf?rlkey=mohu7t2ve75txdwgvbuyh4q65&amp;dl=0" TargetMode="External"/><Relationship Id="rId902" Type="http://schemas.openxmlformats.org/officeDocument/2006/relationships/hyperlink" Target="https://www.dropbox.com/scl/fi/2xcj88hooz7lvqfkry80j/41591.pdf?rlkey=dc0fmhx2neuk8nerft3j2520g&amp;dl=0" TargetMode="External"/><Relationship Id="rId31" Type="http://schemas.openxmlformats.org/officeDocument/2006/relationships/hyperlink" Target="https://www.dropbox.com/scl/fi/9i5tl33djbl2s5v7tl98i/41142.pdf?rlkey=681sh7twg6p121aecuwj0u2sm&amp;dl=0" TargetMode="External"/><Relationship Id="rId334" Type="http://schemas.openxmlformats.org/officeDocument/2006/relationships/hyperlink" Target="https://www.dropbox.com/scl/fi/pgvu7r04hmtqkubpt6hof/39637.pdf?rlkey=dos3of78m7yne4mxt6wdzwyht&amp;dl=0" TargetMode="External"/><Relationship Id="rId541" Type="http://schemas.openxmlformats.org/officeDocument/2006/relationships/hyperlink" Target="https://www.dropbox.com/scl/fi/b8iq43psqhf4vyyzjg7v2/40017.pdf?rlkey=iekvo30h3e9kk3t8394j67yza&amp;dl=0" TargetMode="External"/><Relationship Id="rId639" Type="http://schemas.openxmlformats.org/officeDocument/2006/relationships/hyperlink" Target="https://www.dropbox.com/scl/fi/bwhtmj0i3hh7a3b08fplw/40251.pdf?rlkey=kix8afty65igk4t7z16xpqitb&amp;dl=0" TargetMode="External"/><Relationship Id="rId180" Type="http://schemas.openxmlformats.org/officeDocument/2006/relationships/hyperlink" Target="https://www.dropbox.com/scl/fi/ea3zvprxoerzj6pqmdocs/41298.pdf?rlkey=ofzbg0h41tn7bsxqexkon1rt4&amp;dl=0" TargetMode="External"/><Relationship Id="rId278" Type="http://schemas.openxmlformats.org/officeDocument/2006/relationships/hyperlink" Target="https://www.dropbox.com/scl/fi/eaa7ops1pvdj1vcfhdgzm/39537.pdf?rlkey=0ixanesxhse0u3hmdnqjoc6pn&amp;dl=0" TargetMode="External"/><Relationship Id="rId401" Type="http://schemas.openxmlformats.org/officeDocument/2006/relationships/hyperlink" Target="https://www.dropbox.com/scl/fi/l1g0vl1cbupu8xsc9738d/39753.pdf?rlkey=loml9ypre796r7uslm5d45rtr&amp;dl=0" TargetMode="External"/><Relationship Id="rId846" Type="http://schemas.openxmlformats.org/officeDocument/2006/relationships/hyperlink" Target="https://www.dropbox.com/scl/fi/bg3mmu3gskc4tmuk74dqt/41468.pdf?rlkey=534765ehvnyf2twwx0je8uzqw&amp;dl=0" TargetMode="External"/><Relationship Id="rId485" Type="http://schemas.openxmlformats.org/officeDocument/2006/relationships/hyperlink" Target="https://www.dropbox.com/scl/fi/hnz626s3aw190n77hl0n3/39898.pdf?rlkey=b2aat77dumgkcm60r5k58cub8&amp;dl=0" TargetMode="External"/><Relationship Id="rId692" Type="http://schemas.openxmlformats.org/officeDocument/2006/relationships/hyperlink" Target="https://www.dropbox.com/scl/fi/htjclci12u99ahmlnjwnl/40389.pdf?rlkey=937n58sp0fqk6vdogvb00cega&amp;dl=0" TargetMode="External"/><Relationship Id="rId706" Type="http://schemas.openxmlformats.org/officeDocument/2006/relationships/hyperlink" Target="https://www.dropbox.com/scl/fi/e3qcwyvgsoqxbqspx1mt4/40410.pdf?rlkey=b6q6n5iqk16n4c2jcrvfji5xh&amp;dl=0" TargetMode="External"/><Relationship Id="rId913" Type="http://schemas.openxmlformats.org/officeDocument/2006/relationships/hyperlink" Target="https://www.dropbox.com/scl/fi/s2tqavtojarm261zciir6/41606.pdf?rlkey=616a4syv0149l3kh7aocoy6tn&amp;dl=0" TargetMode="External"/><Relationship Id="rId42" Type="http://schemas.openxmlformats.org/officeDocument/2006/relationships/hyperlink" Target="https://www.dropbox.com/scl/fi/1nw8sjvbt9p43t6v97j0h/40982.pdf?rlkey=lqyhimw0gcfjit5xfytexm5wb&amp;dl=0" TargetMode="External"/><Relationship Id="rId138" Type="http://schemas.openxmlformats.org/officeDocument/2006/relationships/hyperlink" Target="https://www.dropbox.com/scl/fi/fygu9ko3mt3aunrjawnhf/41140.pdf?rlkey=afkh4sgkouohhjoavpkg5x868&amp;dl=0" TargetMode="External"/><Relationship Id="rId345" Type="http://schemas.openxmlformats.org/officeDocument/2006/relationships/hyperlink" Target="https://www.dropbox.com/scl/fi/5uh2j4juf9qirra1ix6ow/39652.pdf?rlkey=jhugfndoujy9ppfif1jdo3e3p&amp;dl=0" TargetMode="External"/><Relationship Id="rId552" Type="http://schemas.openxmlformats.org/officeDocument/2006/relationships/hyperlink" Target="https://www.dropbox.com/scl/fi/q8bnvfoq4vz31z2mgddfq/40039.pdf?rlkey=dei55mu6z507sc392jnj9u3ig&amp;dl=0" TargetMode="External"/><Relationship Id="rId191" Type="http://schemas.openxmlformats.org/officeDocument/2006/relationships/hyperlink" Target="https://www.dropbox.com/scl/fi/45wxyq03zsa867cjht9vo/41343.pdf?rlkey=753ygre47ulxw039msrqf5hzm&amp;dl=0" TargetMode="External"/><Relationship Id="rId205" Type="http://schemas.openxmlformats.org/officeDocument/2006/relationships/hyperlink" Target="https://www.dropbox.com/scl/fi/qs1lnnvt8sbwe51rpalh7/39422.pdf?rlkey=9tr5z9u6jsbqvwxo53qyqdo1c&amp;dl=0" TargetMode="External"/><Relationship Id="rId412" Type="http://schemas.openxmlformats.org/officeDocument/2006/relationships/hyperlink" Target="https://www.dropbox.com/scl/fi/w9z2cjjlhq9h3qqx6zkgk/39774.pdf?rlkey=pl00q8aw2mjyu8fadcji77nok&amp;dl=0" TargetMode="External"/><Relationship Id="rId857" Type="http://schemas.openxmlformats.org/officeDocument/2006/relationships/hyperlink" Target="https://www.dropbox.com/scl/fi/ngeuife7c2dnt4eyzr1yg/41509.pdf?rlkey=5jb5hv2e312va6f1qrjo4kibx&amp;dl=0" TargetMode="External"/><Relationship Id="rId289" Type="http://schemas.openxmlformats.org/officeDocument/2006/relationships/hyperlink" Target="https://www.dropbox.com/scl/fi/hmc3kpu2f9a93icvwbm32/39550.pdf?rlkey=miny8jufu6hlisbvjqn2qcuyx&amp;dl=0" TargetMode="External"/><Relationship Id="rId496" Type="http://schemas.openxmlformats.org/officeDocument/2006/relationships/hyperlink" Target="https://www.dropbox.com/scl/fi/wg8i9750brfjzs2j7vtxi/39919.pdf?rlkey=4wywipe9egbbheavk3wr5d5tx&amp;dl=0" TargetMode="External"/><Relationship Id="rId717" Type="http://schemas.openxmlformats.org/officeDocument/2006/relationships/hyperlink" Target="https://www.dropbox.com/scl/fi/opvfcrvxpb5nf05g5sz40/40460.pdf?rlkey=y80vljvsnz0318hiyjp5d9uzs&amp;dl=0" TargetMode="External"/><Relationship Id="rId924" Type="http://schemas.openxmlformats.org/officeDocument/2006/relationships/hyperlink" Target="https://www.dropbox.com/scl/fi/ydg6wywqzn0ammqs4cvtn/41636.pdf?rlkey=5ji49dydevolaul92lsq9tjd4&amp;dl=0" TargetMode="External"/><Relationship Id="rId53" Type="http://schemas.openxmlformats.org/officeDocument/2006/relationships/hyperlink" Target="https://www.dropbox.com/scl/fi/pvup3ybpxnu22pvdb4foy/41329.pdf?rlkey=vs0ljpd1rcqhfy02vxdohjx01&amp;dl=0" TargetMode="External"/><Relationship Id="rId149" Type="http://schemas.openxmlformats.org/officeDocument/2006/relationships/hyperlink" Target="https://www.dropbox.com/scl/fi/2t2brqjz3fmx7oh45v7g3/41174.pdf?rlkey=skh4h3p15hyal0ymk661ufmwt&amp;dl=0" TargetMode="External"/><Relationship Id="rId356" Type="http://schemas.openxmlformats.org/officeDocument/2006/relationships/hyperlink" Target="https://www.dropbox.com/scl/fi/ic9cqk75x8xdf23e0qd55/39673.pdf?rlkey=ulse4mewde9d56biw78ny2hbu&amp;dl=0" TargetMode="External"/><Relationship Id="rId563" Type="http://schemas.openxmlformats.org/officeDocument/2006/relationships/hyperlink" Target="https://www.dropbox.com/scl/fi/m7w7fqd5who6u4hqitqsg/40073.pdf?rlkey=vq7s30qx322n2k7antwoljrxf&amp;dl=0" TargetMode="External"/><Relationship Id="rId770" Type="http://schemas.openxmlformats.org/officeDocument/2006/relationships/hyperlink" Target="https://www.dropbox.com/scl/fi/mer0v98y1gtdmdf6p3h21/40847.pdf?rlkey=phhfftmv7lf1q3thv1e7w3pzl&amp;dl=0" TargetMode="External"/><Relationship Id="rId216" Type="http://schemas.openxmlformats.org/officeDocument/2006/relationships/hyperlink" Target="https://www.dropbox.com/scl/fi/o4ceaqb8jf8henn6rx4y2/39438.pdf?rlkey=vwxjl9uengcb2mf79rvn6noxn&amp;dl=0" TargetMode="External"/><Relationship Id="rId423" Type="http://schemas.openxmlformats.org/officeDocument/2006/relationships/hyperlink" Target="https://www.dropbox.com/scl/fi/rt4ntp662v8x3pp8d1ei8/39788.pdf?rlkey=ovjpq6px89fj4j66cpqqv7u86&amp;dl=0" TargetMode="External"/><Relationship Id="rId868" Type="http://schemas.openxmlformats.org/officeDocument/2006/relationships/hyperlink" Target="https://www.dropbox.com/scl/fi/8k07qab4s1slldv9txt8g/41532.pdf?rlkey=a1yt7cbtkyxntmj7txvmkp0t5&amp;dl=0" TargetMode="External"/><Relationship Id="rId630" Type="http://schemas.openxmlformats.org/officeDocument/2006/relationships/hyperlink" Target="https://www.dropbox.com/scl/fi/kg865f8ptg2v7lvqsxpd0/40234.pdf?rlkey=5dixsgenznprvqjgy2m7jul5k&amp;dl=0" TargetMode="External"/><Relationship Id="rId728" Type="http://schemas.openxmlformats.org/officeDocument/2006/relationships/hyperlink" Target="https://www.dropbox.com/scl/fi/ay4ezr94zd7jendnhpb1n/40488.pdf?rlkey=1mwnkmq9w5q0qkemh5xcp9ltf&amp;dl=0" TargetMode="External"/><Relationship Id="rId935" Type="http://schemas.openxmlformats.org/officeDocument/2006/relationships/hyperlink" Target="https://www.dropbox.com/scl/fi/9194dl5frmih3t4zvxsc3/41657.pdf?rlkey=b80mi5fqiyek9uj6sb2u2e1rm&amp;dl=0" TargetMode="External"/><Relationship Id="rId64" Type="http://schemas.openxmlformats.org/officeDocument/2006/relationships/hyperlink" Target="https://www.dropbox.com/scl/fi/dcjle1cnv6zf3dzcsuba8/40917.pdf?rlkey=dfm21uzy01s66c317d0tddgs5&amp;dl=0" TargetMode="External"/><Relationship Id="rId367" Type="http://schemas.openxmlformats.org/officeDocument/2006/relationships/hyperlink" Target="https://www.dropbox.com/scl/fi/5iyan6q4xagaisjomdo9m/39686.pdf?rlkey=xoe6jusgeukdq4zg8sttmdh3b&amp;dl=0" TargetMode="External"/><Relationship Id="rId574" Type="http://schemas.openxmlformats.org/officeDocument/2006/relationships/hyperlink" Target="https://www.dropbox.com/scl/fi/khbn68e3z1tcu8pv5afud/40088.pdf?rlkey=ru90m7hsqwameesb8m85bmse9&amp;dl=0" TargetMode="External"/><Relationship Id="rId227" Type="http://schemas.openxmlformats.org/officeDocument/2006/relationships/hyperlink" Target="https://www.dropbox.com/scl/fi/56m04uu337n3998vz6dse/39457.pdf?rlkey=6ucuueifdqlc66t6nsd0vzd52&amp;dl=0" TargetMode="External"/><Relationship Id="rId781" Type="http://schemas.openxmlformats.org/officeDocument/2006/relationships/hyperlink" Target="https://www.dropbox.com/scl/fi/3zcb4qprw75l2lib4m2vs/40890.pdf?rlkey=fp288xfxn0umuvi2msex09euq&amp;dl=0" TargetMode="External"/><Relationship Id="rId879" Type="http://schemas.openxmlformats.org/officeDocument/2006/relationships/hyperlink" Target="https://www.dropbox.com/scl/fi/gpvli79xjtnlcgx68uhn7/41547.pdf?rlkey=y2gohiwh19pcoo1zyl71dn1nz&amp;dl=0" TargetMode="External"/><Relationship Id="rId434" Type="http://schemas.openxmlformats.org/officeDocument/2006/relationships/hyperlink" Target="https://www.dropbox.com/scl/fi/cscetixtpyatrwi80kqz6/39812.pdf?rlkey=60e6sfejm490ittia74vtqhge&amp;dl=0" TargetMode="External"/><Relationship Id="rId641" Type="http://schemas.openxmlformats.org/officeDocument/2006/relationships/hyperlink" Target="https://www.dropbox.com/scl/fi/4xxe9yq7do7w9pc28iluv/40253.pdf?rlkey=f0uf66j9srhq5sxu2iy5khsdz&amp;dl=0" TargetMode="External"/><Relationship Id="rId739" Type="http://schemas.openxmlformats.org/officeDocument/2006/relationships/hyperlink" Target="https://www.dropbox.com/scl/fi/7tvetqovu10614fxxslt6/40537.pdf?rlkey=rh0qmrz467s6ngnwm12arzbmr&amp;dl=0" TargetMode="External"/><Relationship Id="rId280" Type="http://schemas.openxmlformats.org/officeDocument/2006/relationships/hyperlink" Target="https://www.dropbox.com/scl/fi/39sjm4slnxqg1jlpzcwta/39541.pdf?rlkey=ges33d1i1qsmsr2o9aztnwgti&amp;dl=0" TargetMode="External"/><Relationship Id="rId501" Type="http://schemas.openxmlformats.org/officeDocument/2006/relationships/hyperlink" Target="https://www.dropbox.com/scl/fi/u1beevusskfdr1aa6naqx/39935.pdf?rlkey=upnlpyhi2q7niv68yum987ui6&amp;dl=0" TargetMode="External"/><Relationship Id="rId946" Type="http://schemas.openxmlformats.org/officeDocument/2006/relationships/hyperlink" Target="https://www.dropbox.com/scl/fi/xl7doa2gal9ut620491or/41680.pdf?rlkey=hup8w6esjsyqm7g60c5sp4rqd&amp;dl=0" TargetMode="External"/><Relationship Id="rId75" Type="http://schemas.openxmlformats.org/officeDocument/2006/relationships/hyperlink" Target="https://www.dropbox.com/scl/fi/vjmkr1eu4ydw17q9cfejs/41304.pdf?rlkey=b0221xwn6g2vqoe2e8rb98j4r&amp;dl=0" TargetMode="External"/><Relationship Id="rId140" Type="http://schemas.openxmlformats.org/officeDocument/2006/relationships/hyperlink" Target="https://www.dropbox.com/scl/fi/2xky80fky8ali1359n8nn/41149.pdf?rlkey=ocbfmalh9mdiakgyjjqbvzy94&amp;dl=0" TargetMode="External"/><Relationship Id="rId378" Type="http://schemas.openxmlformats.org/officeDocument/2006/relationships/hyperlink" Target="https://www.dropbox.com/scl/fi/6oi72xe5tmmdwqeftxxli/39696.pdf?rlkey=xpto96qzw7ivod53nx4kr4w9d&amp;dl=0" TargetMode="External"/><Relationship Id="rId585" Type="http://schemas.openxmlformats.org/officeDocument/2006/relationships/hyperlink" Target="https://www.dropbox.com/scl/fi/wsaz9nt9rej7vurzbye5v/40105.pdf?rlkey=cndqz72utyvhvemtqpvfjux8e&amp;dl=0" TargetMode="External"/><Relationship Id="rId792" Type="http://schemas.openxmlformats.org/officeDocument/2006/relationships/hyperlink" Target="https://www.dropbox.com/scl/fi/a7ch3ny6g9it049qbi7sz/40911.pdf?rlkey=iz1uhkxcf3bdy4lrhgxis11sx&amp;dl=0" TargetMode="External"/><Relationship Id="rId806" Type="http://schemas.openxmlformats.org/officeDocument/2006/relationships/hyperlink" Target="https://www.dropbox.com/scl/fi/z6a4yfb5cx276uatbbhvn/40954.pdf?rlkey=inbr2krr1nc5xhptgjvca6uq1&amp;dl=0" TargetMode="External"/><Relationship Id="rId6" Type="http://schemas.openxmlformats.org/officeDocument/2006/relationships/hyperlink" Target="https://www.dropbox.com/scl/fi/geykcufpngivjb83qlagi/41063.pdf?rlkey=vbif79jk39rfs6k6cfj56tu1b&amp;dl=0" TargetMode="External"/><Relationship Id="rId238" Type="http://schemas.openxmlformats.org/officeDocument/2006/relationships/hyperlink" Target="https://www.dropbox.com/scl/fi/1w8zyn5h1qut5vmyik0uz/39477.pdf?rlkey=2pz4m8sq1kn0dzlwteuzb3hyh&amp;dl=0" TargetMode="External"/><Relationship Id="rId445" Type="http://schemas.openxmlformats.org/officeDocument/2006/relationships/hyperlink" Target="https://www.dropbox.com/scl/fi/nni4ttxxt6g908c7mgbjl/39826.pdf?rlkey=48yr406coz99xlu4uzlftf5hr&amp;dl=0" TargetMode="External"/><Relationship Id="rId652" Type="http://schemas.openxmlformats.org/officeDocument/2006/relationships/hyperlink" Target="https://www.dropbox.com/scl/fi/3cqdyvxn1mh2hhzrbbhs1/40265.pdf?rlkey=vmwbh29yb025qh2sf80oo5kjp&amp;dl=0" TargetMode="External"/><Relationship Id="rId291" Type="http://schemas.openxmlformats.org/officeDocument/2006/relationships/hyperlink" Target="https://www.dropbox.com/scl/fi/qcuoqil0st2kp88k2u2dv/39552.pdf?rlkey=9owvr77dvbau93ll51qduruzb&amp;dl=0" TargetMode="External"/><Relationship Id="rId305" Type="http://schemas.openxmlformats.org/officeDocument/2006/relationships/hyperlink" Target="https://www.dropbox.com/scl/fi/2hkx77eak8f3q37dqsd88/39571.pdf?rlkey=8oq7i3ecf6ln6cornqhuu5mpc&amp;dl=0" TargetMode="External"/><Relationship Id="rId512" Type="http://schemas.openxmlformats.org/officeDocument/2006/relationships/hyperlink" Target="https://www.dropbox.com/scl/fi/4ouqf6frca8bcu9d9zt49/39962.pdf?rlkey=vpsqpcddmcelhjd52n8qz997d&amp;dl=0" TargetMode="External"/><Relationship Id="rId957" Type="http://schemas.openxmlformats.org/officeDocument/2006/relationships/hyperlink" Target="https://www.dropbox.com/scl/fi/7042kt6q3ljlr44rqy332/41692.pdf?rlkey=cexxpvkdb1dkw54kzcabq0nuj&amp;dl=0" TargetMode="External"/><Relationship Id="rId86" Type="http://schemas.openxmlformats.org/officeDocument/2006/relationships/hyperlink" Target="https://www.dropbox.com/scl/fi/6bv5paaes9uwtwa7w5a2a/41077.pdf?rlkey=jxnh4v5w4862qc4cyqjophs7s&amp;dl=0" TargetMode="External"/><Relationship Id="rId151" Type="http://schemas.openxmlformats.org/officeDocument/2006/relationships/hyperlink" Target="https://www.dropbox.com/scl/fi/vq10guu0ql7jtp2a4or1o/41176.pdf?rlkey=o3ptplzwozafsazf73q2y8gjr&amp;dl=0" TargetMode="External"/><Relationship Id="rId389" Type="http://schemas.openxmlformats.org/officeDocument/2006/relationships/hyperlink" Target="https://www.dropbox.com/scl/fi/ck74b7ot8mufmnsqp89pn/39717.pdf?rlkey=1lpgpkqd9nhvb98rppkrnall6&amp;dl=0" TargetMode="External"/><Relationship Id="rId596" Type="http://schemas.openxmlformats.org/officeDocument/2006/relationships/hyperlink" Target="https://www.dropbox.com/scl/fi/5g8hokg0pjzlcvgl337i3/40134.pdf?rlkey=gtml0vborwb5854gff9bn3e1f&amp;dl=0" TargetMode="External"/><Relationship Id="rId817" Type="http://schemas.openxmlformats.org/officeDocument/2006/relationships/hyperlink" Target="https://www.dropbox.com/scl/fi/lzbznjcur6s0lx3a7mp2m/40990.pdf?rlkey=f2c2tr7uwyb509gy95ojmbxb2&amp;dl=0" TargetMode="External"/><Relationship Id="rId249" Type="http://schemas.openxmlformats.org/officeDocument/2006/relationships/hyperlink" Target="https://www.dropbox.com/scl/fi/s0vz8sw5v0g7zyj4calrs/39492.pdf?rlkey=azbchp3898iaffnnyhkb4p2ef&amp;dl=0" TargetMode="External"/><Relationship Id="rId456" Type="http://schemas.openxmlformats.org/officeDocument/2006/relationships/hyperlink" Target="https://www.dropbox.com/scl/fi/h6y0rme6xrmz5lp6gefnx/39843.pdf?rlkey=uzp84orccycx2iqypqkjt9xe0&amp;dl=0" TargetMode="External"/><Relationship Id="rId663" Type="http://schemas.openxmlformats.org/officeDocument/2006/relationships/hyperlink" Target="https://www.dropbox.com/scl/fi/vdsfz6lbbztj51z9luylm/40315.pdf?rlkey=oczu8dyyxa1tu1z0emag8cd7a&amp;dl=0" TargetMode="External"/><Relationship Id="rId870" Type="http://schemas.openxmlformats.org/officeDocument/2006/relationships/hyperlink" Target="https://www.dropbox.com/scl/fi/geip7vai3zjjgkjjsuvx0/41536.pdf?rlkey=5w0n2gff9rj1ttmh25wmdpdhf&amp;dl=0" TargetMode="External"/><Relationship Id="rId13" Type="http://schemas.openxmlformats.org/officeDocument/2006/relationships/hyperlink" Target="https://www.dropbox.com/scl/fi/snt8s8goos1bw7s8hqnqx/40940.pdf?rlkey=1ydim3z71cgge3cgz6eu43kzt&amp;dl=0" TargetMode="External"/><Relationship Id="rId109" Type="http://schemas.openxmlformats.org/officeDocument/2006/relationships/hyperlink" Target="https://www.dropbox.com/scl/fi/7uqxsuxh5ncykpr7mbp4i/40813.pdf?rlkey=4eq0t7l32kbnobo45mmls04b9&amp;dl=0" TargetMode="External"/><Relationship Id="rId316" Type="http://schemas.openxmlformats.org/officeDocument/2006/relationships/hyperlink" Target="https://www.dropbox.com/scl/fi/f0zg2hvj7tmvani1idckf/39586.pdf?rlkey=01qlwvkl2iltix7avigq7cplv&amp;dl=0" TargetMode="External"/><Relationship Id="rId523" Type="http://schemas.openxmlformats.org/officeDocument/2006/relationships/hyperlink" Target="https://www.dropbox.com/scl/fi/tjx9zbq25sue5e4njib64/39980.pdf?rlkey=fwxfkw521o9b7s93avlttkaua&amp;dl=0" TargetMode="External"/><Relationship Id="rId968" Type="http://schemas.openxmlformats.org/officeDocument/2006/relationships/hyperlink" Target="https://www.dropbox.com/scl/fi/8nukni0xdpyad3ppz5zax/41711.pdf?rlkey=ezsnueb32b7iccvqxfqv76djh&amp;dl=0" TargetMode="External"/><Relationship Id="rId97" Type="http://schemas.openxmlformats.org/officeDocument/2006/relationships/hyperlink" Target="https://www.dropbox.com/scl/fi/082ve8de7tjh0iipxnn7q/41146.pdf?rlkey=rg8qfwh57rpb1sjcp4suwxu9n&amp;dl=0" TargetMode="External"/><Relationship Id="rId730" Type="http://schemas.openxmlformats.org/officeDocument/2006/relationships/hyperlink" Target="https://www.dropbox.com/scl/fi/f4xrtiulfqpujo4ibkqqw/40497.pdf?rlkey=3xbkkilo7p0e8slfd69ydw0vt&amp;dl=0" TargetMode="External"/><Relationship Id="rId828" Type="http://schemas.openxmlformats.org/officeDocument/2006/relationships/hyperlink" Target="https://www.dropbox.com/scl/fi/9mtaolk63efgt4sbukxjk/41412.pdf?rlkey=82w01xl9ctxu2hrihxziv7w07&amp;dl=0" TargetMode="External"/><Relationship Id="rId162" Type="http://schemas.openxmlformats.org/officeDocument/2006/relationships/hyperlink" Target="https://www.dropbox.com/scl/fi/xxp4r9vd3vdpm9i8muglf/41219.pdf?rlkey=p09bq62vrnwur7gy0yimmwaq3&amp;dl=0" TargetMode="External"/><Relationship Id="rId467" Type="http://schemas.openxmlformats.org/officeDocument/2006/relationships/hyperlink" Target="https://www.dropbox.com/scl/fi/rrad5lldq093kjeip7ue5/39868.pdf?rlkey=u9za4rbikeznwtuqre72n2o23&amp;dl=0" TargetMode="External"/><Relationship Id="rId674" Type="http://schemas.openxmlformats.org/officeDocument/2006/relationships/hyperlink" Target="https://www.dropbox.com/scl/fi/2rhiod9md3i79vumapgur/40351.pdf?rlkey=m4sxermq4aja5va48r135hul8&amp;dl=0" TargetMode="External"/><Relationship Id="rId881" Type="http://schemas.openxmlformats.org/officeDocument/2006/relationships/hyperlink" Target="https://www.dropbox.com/scl/fi/8t710oq2wbn4rvyiscenq/41549.pdf?rlkey=xmbz0c17jujz9lanai07m6wy7&amp;dl=0" TargetMode="External"/><Relationship Id="rId24" Type="http://schemas.openxmlformats.org/officeDocument/2006/relationships/hyperlink" Target="https://www.dropbox.com/scl/fi/thxphek2nglo9wc5e0fab/41051.pdf?rlkey=808x1zebumfomlcx45vde6muh&amp;dl=0" TargetMode="External"/><Relationship Id="rId327" Type="http://schemas.openxmlformats.org/officeDocument/2006/relationships/hyperlink" Target="https://www.dropbox.com/scl/fi/lzn1616n1sf1m9cfeq66g/39605.pdf?rlkey=63s35rvxhy4nwzulficmxkzia&amp;dl=0" TargetMode="External"/><Relationship Id="rId534" Type="http://schemas.openxmlformats.org/officeDocument/2006/relationships/hyperlink" Target="https://www.dropbox.com/scl/fi/r0amhqzutsvu1bzgatqb2/40003.pdf?rlkey=f31g6xyvcx15ez03lg3rq984x&amp;dl=0" TargetMode="External"/><Relationship Id="rId741" Type="http://schemas.openxmlformats.org/officeDocument/2006/relationships/hyperlink" Target="https://www.dropbox.com/scl/fi/kcczhd0wbxgodlg3quhto/40702.pdf?rlkey=3sjyov3v6eubc06x83471jp88&amp;dl=0" TargetMode="External"/><Relationship Id="rId839" Type="http://schemas.openxmlformats.org/officeDocument/2006/relationships/hyperlink" Target="https://www.dropbox.com/scl/fi/0xsu7e4neobygjvqmukea/41443.pdf?rlkey=dstyiqzay5hjp4d0xl9dirhix&amp;dl=0" TargetMode="External"/><Relationship Id="rId173" Type="http://schemas.openxmlformats.org/officeDocument/2006/relationships/hyperlink" Target="https://www.dropbox.com/scl/fi/4bzucxy333nzfx3fd5unm/41268.pdf?rlkey=bvh6ioj38ekitb7wwtosiq6wa&amp;dl=0" TargetMode="External"/><Relationship Id="rId380" Type="http://schemas.openxmlformats.org/officeDocument/2006/relationships/hyperlink" Target="https://www.dropbox.com/scl/fi/7psqmhj0y9caaqdvyr4bu/39703.pdf?rlkey=xmp5jjnr3vv51gzng287v2cbo&amp;dl=0" TargetMode="External"/><Relationship Id="rId601" Type="http://schemas.openxmlformats.org/officeDocument/2006/relationships/hyperlink" Target="https://www.dropbox.com/scl/fi/5kfvo3xa3uzj1qls1gokj/40139.pdf?rlkey=n1defufi0tj1p8dyxm9r1g7d4&amp;dl=0" TargetMode="External"/><Relationship Id="rId240" Type="http://schemas.openxmlformats.org/officeDocument/2006/relationships/hyperlink" Target="https://www.dropbox.com/scl/fi/iom7mlbg79xrd6yp9kpkn/39480.pdf?rlkey=igiye6jpim7paigjurf5g7b1a&amp;dl=0" TargetMode="External"/><Relationship Id="rId478" Type="http://schemas.openxmlformats.org/officeDocument/2006/relationships/hyperlink" Target="https://www.dropbox.com/scl/fi/biaa8gvvn9rkoo379petb/39883.pdf?rlkey=ybqraz1cw0elyyhreafxirmbq&amp;dl=0" TargetMode="External"/><Relationship Id="rId685" Type="http://schemas.openxmlformats.org/officeDocument/2006/relationships/hyperlink" Target="https://www.dropbox.com/scl/fi/a8uqapczk4pfdd8sg2ufa/40379.pdf?rlkey=8gj17nkpndrcs41uy4nsa6hdv&amp;dl=0" TargetMode="External"/><Relationship Id="rId892" Type="http://schemas.openxmlformats.org/officeDocument/2006/relationships/hyperlink" Target="https://www.dropbox.com/scl/fi/y5cr1yotqaydcyeprcqno/41568.pdf?rlkey=v3pnkkk2s4c0xxp50adrsx3jn&amp;dl=0" TargetMode="External"/><Relationship Id="rId906" Type="http://schemas.openxmlformats.org/officeDocument/2006/relationships/hyperlink" Target="https://www.dropbox.com/scl/fi/g2zbcissbes8dya7m7o9d/41599.pdf?rlkey=iu08k8z1db5nlvekqe1hw21g8&amp;dl=0" TargetMode="External"/><Relationship Id="rId35" Type="http://schemas.openxmlformats.org/officeDocument/2006/relationships/hyperlink" Target="https://www.dropbox.com/scl/fi/ulwwliltrl4vpdxezujki/41144.pdf?rlkey=yzx7nqa9ps2n0xnjusew0prlc&amp;dl=0" TargetMode="External"/><Relationship Id="rId100" Type="http://schemas.openxmlformats.org/officeDocument/2006/relationships/hyperlink" Target="https://www.dropbox.com/scl/fi/m21ffqcjxvhfytaoixtxf/41178.pdf?rlkey=i57nx44nwarrp9ixbqy040lbv&amp;dl=0" TargetMode="External"/><Relationship Id="rId338" Type="http://schemas.openxmlformats.org/officeDocument/2006/relationships/hyperlink" Target="https://www.dropbox.com/scl/fi/hemjyw0qks90is07vd7mg/39641.pdf?rlkey=c87mdl5jusepci7nmgzdd3ca1&amp;dl=0" TargetMode="External"/><Relationship Id="rId545" Type="http://schemas.openxmlformats.org/officeDocument/2006/relationships/hyperlink" Target="https://www.dropbox.com/scl/fi/hq2bcog9iy90dmjmqhqg6/40021.pdf?rlkey=p3a481xgcm6xbmz8y70dz7flr&amp;dl=0" TargetMode="External"/><Relationship Id="rId752" Type="http://schemas.openxmlformats.org/officeDocument/2006/relationships/hyperlink" Target="https://www.dropbox.com/scl/fi/0kn1nd82x9i3xiz2udxgd/40751.pdf?rlkey=4gqxeflkj1nrzcw6ctlcpzo7f&amp;dl=0" TargetMode="External"/><Relationship Id="rId184" Type="http://schemas.openxmlformats.org/officeDocument/2006/relationships/hyperlink" Target="https://www.dropbox.com/scl/fi/iiexki0zyn7fkcpz9ui4u/41302.pdf?rlkey=kanslmp0lhuxfvbvkyoap7q50&amp;dl=0" TargetMode="External"/><Relationship Id="rId391" Type="http://schemas.openxmlformats.org/officeDocument/2006/relationships/hyperlink" Target="https://www.dropbox.com/scl/fi/ymfwsn73f4c99538alsli/39725.pdf?rlkey=teu8ol974l9psztkdpzzcakfb&amp;dl=0" TargetMode="External"/><Relationship Id="rId405" Type="http://schemas.openxmlformats.org/officeDocument/2006/relationships/hyperlink" Target="https://www.dropbox.com/scl/fi/nzvxdf0wql5tlwnuaiaf7/39762.pdf?rlkey=7igezzmfoob2bc47xromvfoh2&amp;dl=0" TargetMode="External"/><Relationship Id="rId612" Type="http://schemas.openxmlformats.org/officeDocument/2006/relationships/hyperlink" Target="https://www.dropbox.com/scl/fi/vyuaohu7om5nyqeqa8xsf/40154.pdf?rlkey=1zcaiqwmaigy3vsx7jg3mnrug&amp;dl=0" TargetMode="External"/><Relationship Id="rId251" Type="http://schemas.openxmlformats.org/officeDocument/2006/relationships/hyperlink" Target="https://www.dropbox.com/scl/fi/n2k516jyrubywy8t2yjmt/39494.pdf?rlkey=pz8o1m10gxp85q6hgkwp1ebhz&amp;dl=0" TargetMode="External"/><Relationship Id="rId489" Type="http://schemas.openxmlformats.org/officeDocument/2006/relationships/hyperlink" Target="https://www.dropbox.com/scl/fi/p52j2kqlv3b3hr21wf26l/39910.pdf?rlkey=70nk3l0s7pzwpobo822gefu1g&amp;dl=0" TargetMode="External"/><Relationship Id="rId696" Type="http://schemas.openxmlformats.org/officeDocument/2006/relationships/hyperlink" Target="https://www.dropbox.com/scl/fi/bv05g96hv2kl7d8pd9vbk/40396.pdf?rlkey=dxy9qpkvr0ausgi5828p3e9tc&amp;dl=0" TargetMode="External"/><Relationship Id="rId917" Type="http://schemas.openxmlformats.org/officeDocument/2006/relationships/hyperlink" Target="https://www.dropbox.com/scl/fi/oaor3l0je9gyhj5id3859/41610.pdf?rlkey=ssqlodpgn67sxjk5ah6mr2tp4&amp;dl=0" TargetMode="External"/><Relationship Id="rId46" Type="http://schemas.openxmlformats.org/officeDocument/2006/relationships/hyperlink" Target="https://www.dropbox.com/scl/fi/85juh3p2ksuujzpx4ba6x/41088.pdf?rlkey=hqdcu3frykwlxq9jpiu8aoaq2&amp;dl=0" TargetMode="External"/><Relationship Id="rId349" Type="http://schemas.openxmlformats.org/officeDocument/2006/relationships/hyperlink" Target="https://www.dropbox.com/scl/fi/al9yg37uw7tg3pgec2nh1/39657.pdf?rlkey=wzcrv4uywzo9df5p9t2lmb3ek&amp;dl=0" TargetMode="External"/><Relationship Id="rId556" Type="http://schemas.openxmlformats.org/officeDocument/2006/relationships/hyperlink" Target="https://www.dropbox.com/scl/fi/5tikkh9wfuhchbbtujuz2/40053.pdf?rlkey=id98v0z6rp7oj48a45kdke02k&amp;dl=0" TargetMode="External"/><Relationship Id="rId763" Type="http://schemas.openxmlformats.org/officeDocument/2006/relationships/hyperlink" Target="https://www.dropbox.com/scl/fi/s56ue3g4p10pq74t43sbs/40806.pdf?rlkey=r10h7xm1wsz3787fkxx4mn6mj&amp;dl=0" TargetMode="External"/><Relationship Id="rId111" Type="http://schemas.openxmlformats.org/officeDocument/2006/relationships/hyperlink" Target="https://www.dropbox.com/scl/fi/qfrtubm82j2gpa4nb4hzq/40815.pdf?rlkey=8o5qha553v0cxc8p7ored3x9f&amp;dl=0" TargetMode="External"/><Relationship Id="rId195" Type="http://schemas.openxmlformats.org/officeDocument/2006/relationships/hyperlink" Target="../../../../../Containers/com.microsoft.Excel/Data/Library/Application%20Support/01%202025/Dog/39275.pdf" TargetMode="External"/><Relationship Id="rId209" Type="http://schemas.openxmlformats.org/officeDocument/2006/relationships/hyperlink" Target="https://www.dropbox.com/scl/fi/7nmtgcyrh1uva6jbeqdrk/39427.pdf?rlkey=2wb7wnt375alfrf6eeva0etq7&amp;dl=0" TargetMode="External"/><Relationship Id="rId416" Type="http://schemas.openxmlformats.org/officeDocument/2006/relationships/hyperlink" Target="https://www.dropbox.com/scl/fi/9ifw2gg6ixetf4hucbajx/39778.pdf?rlkey=yx5akiwgfj8oyra8064odw3le&amp;dl=0" TargetMode="External"/><Relationship Id="rId623" Type="http://schemas.openxmlformats.org/officeDocument/2006/relationships/hyperlink" Target="https://www.dropbox.com/scl/fi/jzxthfulnj9g27sro6eyl/40171.pdf?rlkey=z7migoixcsrcl9n4sl36x94pc&amp;dl=0" TargetMode="External"/><Relationship Id="rId830" Type="http://schemas.openxmlformats.org/officeDocument/2006/relationships/hyperlink" Target="https://www.dropbox.com/scl/fi/99d9qzoyyywgiqsuafxu8/41414.pdf?rlkey=vgk1drrpnmjy3d0raea4err83&amp;dl=0" TargetMode="External"/><Relationship Id="rId928" Type="http://schemas.openxmlformats.org/officeDocument/2006/relationships/hyperlink" Target="https://www.dropbox.com/scl/fi/simm1q8duglyrhqsyyw0p/41642.pdf?rlkey=xx4udbhsk2zqgbs80jloi99eg&amp;dl=0" TargetMode="External"/><Relationship Id="rId57" Type="http://schemas.openxmlformats.org/officeDocument/2006/relationships/hyperlink" Target="https://www.dropbox.com/scl/fi/tqu753h5dwoh9fuipy4nj/41285.pdf?rlkey=d348pylbych4ui9falnr5v09z&amp;dl=0" TargetMode="External"/><Relationship Id="rId262" Type="http://schemas.openxmlformats.org/officeDocument/2006/relationships/hyperlink" Target="https://www.dropbox.com/scl/fi/a2a8706i1j4vsdijcy8u4/39508.pdf?rlkey=uxgy0uszxzd1l5miibv1bmtoq&amp;dl=0" TargetMode="External"/><Relationship Id="rId567" Type="http://schemas.openxmlformats.org/officeDocument/2006/relationships/hyperlink" Target="https://www.dropbox.com/scl/fi/efqyz1doxfw002e1mbfnv/40080.pdf?rlkey=y8c9h2a7fh7il8q1b1nw1fo5h&amp;dl=0" TargetMode="External"/><Relationship Id="rId122" Type="http://schemas.openxmlformats.org/officeDocument/2006/relationships/hyperlink" Target="https://www.dropbox.com/scl/fi/x8uubh3c9ihyig1adqmfp/41024.pdf?rlkey=nju2oxvnmtp4t428yik3cruu7&amp;dl=0" TargetMode="External"/><Relationship Id="rId774" Type="http://schemas.openxmlformats.org/officeDocument/2006/relationships/hyperlink" Target="https://www.dropbox.com/scl/fi/ixjx1aip0v2p32u6dbn4l/40867.pdf?rlkey=j1gpjhzgcasowia9not9o994c&amp;dl=0" TargetMode="External"/><Relationship Id="rId427" Type="http://schemas.openxmlformats.org/officeDocument/2006/relationships/hyperlink" Target="https://www.dropbox.com/scl/fi/0n5lqkuhq7plrgnpwpmdr/39795.pdf?rlkey=3h7dpsscldyqi2oodkondeqp2&amp;dl=0" TargetMode="External"/><Relationship Id="rId634" Type="http://schemas.openxmlformats.org/officeDocument/2006/relationships/hyperlink" Target="https://www.dropbox.com/scl/fi/5hselj4k1kz64ntzr9gv5/40246.pdf?rlkey=sqk72ud3poudggpnpqjm0gnlk&amp;dl=0" TargetMode="External"/><Relationship Id="rId841" Type="http://schemas.openxmlformats.org/officeDocument/2006/relationships/hyperlink" Target="https://www.dropbox.com/scl/fi/5olp72s3w4ayga51ul3b3/41451.pdf?rlkey=jrtriz31vmrxjdsww67mkcsmf&amp;dl=0" TargetMode="External"/><Relationship Id="rId273" Type="http://schemas.openxmlformats.org/officeDocument/2006/relationships/hyperlink" Target="https://www.dropbox.com/scl/fi/06av4ylmlrs5zyhlxmiv7/39523.pdf?rlkey=z6gyw2e70aqvmopybjppbyecr&amp;dl=0" TargetMode="External"/><Relationship Id="rId480" Type="http://schemas.openxmlformats.org/officeDocument/2006/relationships/hyperlink" Target="https://www.dropbox.com/scl/fi/2sqa8zeisvf029xfaydic/39885.pdf?rlkey=3fvst72nmux9lenhqteimowds&amp;dl=0" TargetMode="External"/><Relationship Id="rId701" Type="http://schemas.openxmlformats.org/officeDocument/2006/relationships/hyperlink" Target="https://www.dropbox.com/scl/fi/xn5s74mi41in4bllnkjcf/40405.pdf?rlkey=dvgr4cy9cjvislj3mv37ld1or&amp;dl=0" TargetMode="External"/><Relationship Id="rId939" Type="http://schemas.openxmlformats.org/officeDocument/2006/relationships/hyperlink" Target="https://www.dropbox.com/scl/fi/8fibexppudvu3z37vgm3f/41670.pdf?rlkey=qnyv26dimuarucgxkg830u22v&amp;dl=0" TargetMode="External"/><Relationship Id="rId68" Type="http://schemas.openxmlformats.org/officeDocument/2006/relationships/hyperlink" Target="https://www.dropbox.com/scl/fi/iz0rqqxxkse69m6z1xkyk/41235.pdf?rlkey=vnlxoh3mfgersfh8n25w6j4au&amp;dl=0" TargetMode="External"/><Relationship Id="rId133" Type="http://schemas.openxmlformats.org/officeDocument/2006/relationships/hyperlink" Target="https://www.dropbox.com/scl/fi/87b0t1rx2smpgnoymz7lu/41093.pdf?rlkey=5t2ow8doxh9lnejxf3mtm19yc&amp;dl=0" TargetMode="External"/><Relationship Id="rId340" Type="http://schemas.openxmlformats.org/officeDocument/2006/relationships/hyperlink" Target="https://www.dropbox.com/scl/fi/ubg9v02jkgxh3oynjqcbq/39643.pdf?rlkey=kckknovwf9chjmktf4ipf24xm&amp;dl=0" TargetMode="External"/><Relationship Id="rId578" Type="http://schemas.openxmlformats.org/officeDocument/2006/relationships/hyperlink" Target="https://www.dropbox.com/scl/fi/jjarzr57953vvj8xdq46u/40093.pdf?rlkey=gp30gfcu6atuedx8ws37qojqh&amp;dl=0" TargetMode="External"/><Relationship Id="rId785" Type="http://schemas.openxmlformats.org/officeDocument/2006/relationships/hyperlink" Target="https://www.dropbox.com/scl/fi/u4cplulp2yev4trghbksq/40903.pdf?rlkey=q509gh2j7s4kqt1cjtefaueut&amp;dl=0" TargetMode="External"/><Relationship Id="rId200" Type="http://schemas.openxmlformats.org/officeDocument/2006/relationships/hyperlink" Target="https://www.dropbox.com/scl/fi/54dkgdncroy0f2pasg8wu/39413.pdf?rlkey=st9f439defjmm7k6566dli0d2&amp;dl=0" TargetMode="External"/><Relationship Id="rId438" Type="http://schemas.openxmlformats.org/officeDocument/2006/relationships/hyperlink" Target="https://www.dropbox.com/scl/fi/h6uwq48u603ithyti9jlr/39818.pdf?rlkey=4hwtil62un2pe0dii2dd8hmpk&amp;dl=0" TargetMode="External"/><Relationship Id="rId645" Type="http://schemas.openxmlformats.org/officeDocument/2006/relationships/hyperlink" Target="https://www.dropbox.com/scl/fi/etbmr3ugypvdkjdt5sj2c/40257.pdf?rlkey=8uhi0rmjwq5yj8ke5w06o4rjr&amp;dl=0" TargetMode="External"/><Relationship Id="rId852" Type="http://schemas.openxmlformats.org/officeDocument/2006/relationships/hyperlink" Target="https://www.dropbox.com/scl/fi/dlqfngjphfyfkyrfpb1kb/41491.pdf?rlkey=xxo4wmp7maowl61nut9icrag6&amp;dl=0" TargetMode="External"/><Relationship Id="rId284" Type="http://schemas.openxmlformats.org/officeDocument/2006/relationships/hyperlink" Target="https://www.dropbox.com/scl/fi/odudacd7347uf375i37xi/39545.pdf?rlkey=t6tyt4u5j3d624lpflpseew7n&amp;dl=0" TargetMode="External"/><Relationship Id="rId491" Type="http://schemas.openxmlformats.org/officeDocument/2006/relationships/hyperlink" Target="https://www.dropbox.com/scl/fi/xpo7by50t49rahjade1dc/39912.pdf?rlkey=k3zcfk4ktphe3x1zy6r7wtbfu&amp;dl=0" TargetMode="External"/><Relationship Id="rId505" Type="http://schemas.openxmlformats.org/officeDocument/2006/relationships/hyperlink" Target="https://www.dropbox.com/scl/fi/kh649lxeyt9opkgwg7z1b/39940.pdf?rlkey=7zzwerwq82g7qj0op6343ivou&amp;dl=0" TargetMode="External"/><Relationship Id="rId712" Type="http://schemas.openxmlformats.org/officeDocument/2006/relationships/hyperlink" Target="https://www.dropbox.com/scl/fi/9hi96bm5csrpxzbrq206r/40430.pdf?rlkey=911af1h1qdveqonch8dkh28l8&amp;dl=0" TargetMode="External"/><Relationship Id="rId79" Type="http://schemas.openxmlformats.org/officeDocument/2006/relationships/hyperlink" Target="https://www.dropbox.com/scl/fi/whnn9zawoa71ksims8i2w/40811.pdf?rlkey=ye05vrhjt30qn84apyros7yvk&amp;dl=0" TargetMode="External"/><Relationship Id="rId144" Type="http://schemas.openxmlformats.org/officeDocument/2006/relationships/hyperlink" Target="https://www.dropbox.com/scl/fi/am91omdpjx1o8m7twjg4p/41165.pdf?rlkey=19nrzwnixhf1p2hsubb6s7d1j&amp;dl=0" TargetMode="External"/><Relationship Id="rId589" Type="http://schemas.openxmlformats.org/officeDocument/2006/relationships/hyperlink" Target="https://www.dropbox.com/scl/fi/km9svthfetdqffsg03cip/40109.pdf?rlkey=lcn9keb74cw3i0bzgazntzbmm&amp;dl=0" TargetMode="External"/><Relationship Id="rId796" Type="http://schemas.openxmlformats.org/officeDocument/2006/relationships/hyperlink" Target="https://www.dropbox.com/scl/fi/rynohi16rz3q0cdw4aucu/40921.pdf?rlkey=q43qhcr5qhx0a7936a5s9lxdo&amp;dl=0" TargetMode="External"/><Relationship Id="rId351" Type="http://schemas.openxmlformats.org/officeDocument/2006/relationships/hyperlink" Target="https://www.dropbox.com/scl/fi/4ho5zmlbpja05qzhfaqxo/39663.pdf?rlkey=t2modazi473emhbypl1i2x4jn&amp;dl=0" TargetMode="External"/><Relationship Id="rId449" Type="http://schemas.openxmlformats.org/officeDocument/2006/relationships/hyperlink" Target="https://www.dropbox.com/scl/fi/139ncj6on61lioevdc06e/39830.pdf?rlkey=m75ol132bhhwigz9tscrv5edp&amp;dl=0" TargetMode="External"/><Relationship Id="rId656" Type="http://schemas.openxmlformats.org/officeDocument/2006/relationships/hyperlink" Target="https://www.dropbox.com/scl/fi/pm25r7u60mxsgp4vvv0wf/40272.pdf?rlkey=7puipiblu2sn2if34z89b1kz6&amp;dl=0" TargetMode="External"/><Relationship Id="rId863" Type="http://schemas.openxmlformats.org/officeDocument/2006/relationships/hyperlink" Target="https://www.dropbox.com/scl/fi/kgkb3li9onepujzowhw5j/41525.pdf?rlkey=iwa6zkpvknqc2o0h8kehs94vb&amp;dl=0" TargetMode="External"/><Relationship Id="rId211" Type="http://schemas.openxmlformats.org/officeDocument/2006/relationships/hyperlink" Target="https://www.dropbox.com/scl/fi/yazkk789umehhv1f1a7xr/39430.pdf?rlkey=0okjsx6su572pwm5eqbm4smqv&amp;dl=0" TargetMode="External"/><Relationship Id="rId295" Type="http://schemas.openxmlformats.org/officeDocument/2006/relationships/hyperlink" Target="https://www.dropbox.com/scl/fi/ijf8pl9q2srlgmw15pmpb/39557.pdf?rlkey=1n20z9m7jg54x1cshsnxpt5i0&amp;dl=0" TargetMode="External"/><Relationship Id="rId309" Type="http://schemas.openxmlformats.org/officeDocument/2006/relationships/hyperlink" Target="https://www.dropbox.com/scl/fi/0mbua69myqz5jh77solqd/39576.pdf?rlkey=vj08chq4dn1n3wnytcm16e77v&amp;dl=0" TargetMode="External"/><Relationship Id="rId516" Type="http://schemas.openxmlformats.org/officeDocument/2006/relationships/hyperlink" Target="https://www.dropbox.com/scl/fi/oo5ubo8qfr70w8bstkznq/39970.pdf?rlkey=vicc23uk52wuods07uhcpj756&amp;dl=0" TargetMode="External"/><Relationship Id="rId723" Type="http://schemas.openxmlformats.org/officeDocument/2006/relationships/hyperlink" Target="https://www.dropbox.com/scl/fi/64txzi007a6rijpmntwsj/40474.pdf?rlkey=mohxlnc5nsf3xspao1ujrxrf9&amp;dl=0" TargetMode="External"/><Relationship Id="rId930" Type="http://schemas.openxmlformats.org/officeDocument/2006/relationships/hyperlink" Target="https://www.dropbox.com/scl/fi/d7w4pl0dtadf80ykkicfx/41645.pdf?rlkey=0e8dkjva9l4faziarvp4g1yj7&amp;dl=0" TargetMode="External"/><Relationship Id="rId155" Type="http://schemas.openxmlformats.org/officeDocument/2006/relationships/hyperlink" Target="https://www.dropbox.com/scl/fi/xcsdgfzsg6h5l0fkszldy/41190.pdf?rlkey=mzz56yv0k7fy6q55kgqcit56d&amp;dl=0" TargetMode="External"/><Relationship Id="rId362" Type="http://schemas.openxmlformats.org/officeDocument/2006/relationships/hyperlink" Target="https://www.dropbox.com/scl/fi/9ha91fxzsaey9u33ed7dj/39681.pdf?rlkey=1qid2ttpcwjvhgg6uyqczjgnk&amp;dl=0" TargetMode="External"/><Relationship Id="rId222" Type="http://schemas.openxmlformats.org/officeDocument/2006/relationships/hyperlink" Target="https://www.dropbox.com/scl/fi/rs5wlt2vbahyy3pb9wq85/39450.pdf?rlkey=iz5pm2nporgzqe8f1og6yghny&amp;dl=0" TargetMode="External"/><Relationship Id="rId667" Type="http://schemas.openxmlformats.org/officeDocument/2006/relationships/hyperlink" Target="https://www.dropbox.com/scl/fi/j5yliysn5ennw31b675va/40331.pdf?rlkey=fg8n2wo6sf6hh1a2707qxp73r&amp;dl=0" TargetMode="External"/><Relationship Id="rId874" Type="http://schemas.openxmlformats.org/officeDocument/2006/relationships/hyperlink" Target="https://www.dropbox.com/scl/fi/68hufkubanvt098gkb3cs/41540.pdf?rlkey=1fyro58hx0r4rjrmk6q12ki02&amp;dl=0" TargetMode="External"/><Relationship Id="rId17" Type="http://schemas.openxmlformats.org/officeDocument/2006/relationships/hyperlink" Target="https://www.dropbox.com/scl/fi/ncjfhsz6s51lwpwvd32tk/41291.pdf?rlkey=zbs7yfombau8s6mauypn8m3et&amp;dl=0" TargetMode="External"/><Relationship Id="rId527" Type="http://schemas.openxmlformats.org/officeDocument/2006/relationships/hyperlink" Target="https://www.dropbox.com/scl/fi/t820jas60nc15la27zere/39984.pdf?rlkey=cbb434mvwog2i5ltn2pa5r48y&amp;dl=0" TargetMode="External"/><Relationship Id="rId734" Type="http://schemas.openxmlformats.org/officeDocument/2006/relationships/hyperlink" Target="https://www.dropbox.com/scl/fi/9df5ars1t6gedhsx87lnt/40528.pdf?rlkey=yixbjhutmvtzf2afop6kj5jri&amp;dl=0" TargetMode="External"/><Relationship Id="rId941" Type="http://schemas.openxmlformats.org/officeDocument/2006/relationships/hyperlink" Target="https://www.dropbox.com/scl/fi/ghlgfgi8hg6pvb8bi3r07/41672.pdf?rlkey=7aioduvcammhxly5nne8suswc&amp;dl=0" TargetMode="External"/><Relationship Id="rId70" Type="http://schemas.openxmlformats.org/officeDocument/2006/relationships/hyperlink" Target="https://www.dropbox.com/scl/fi/vnl31pmo17sd4actcem7f/41118.pdf?rlkey=u3h8urswtj6xg1b1mtufckkxi&amp;dl=0" TargetMode="External"/><Relationship Id="rId166" Type="http://schemas.openxmlformats.org/officeDocument/2006/relationships/hyperlink" Target="https://www.dropbox.com/scl/fi/qq8n0myg41axnttw3ohi0/41223.pdf?rlkey=rsf5c3ls739qcref8xwsman6w&amp;dl=0" TargetMode="External"/><Relationship Id="rId373" Type="http://schemas.openxmlformats.org/officeDocument/2006/relationships/hyperlink" Target="https://www.dropbox.com/scl/fi/hrqwhcizgorl4w74swh2z/39693.pdf?rlkey=ashpodgrqvun7qcfr04shqy6q&amp;dl=0" TargetMode="External"/><Relationship Id="rId580" Type="http://schemas.openxmlformats.org/officeDocument/2006/relationships/hyperlink" Target="https://www.dropbox.com/scl/fi/5i1ka9hfc6du8wlt4n416/40096.pdf?rlkey=o217ly66lfmf38qnckqmeeu15&amp;dl=0" TargetMode="External"/><Relationship Id="rId801" Type="http://schemas.openxmlformats.org/officeDocument/2006/relationships/hyperlink" Target="https://www.dropbox.com/scl/fi/xeg854qjkuwrlf8bcms7k/40937.pdf?rlkey=9dsz3k9uckpxm59mphku2bkuj&amp;dl=0" TargetMode="External"/><Relationship Id="rId1" Type="http://schemas.openxmlformats.org/officeDocument/2006/relationships/hyperlink" Target="https://www.dropbox.com/scl/fi/u99dasvbe04beh0k2z0jj/41143.pdf?rlkey=n7yc71feuf75wjwa1vkc7gbi6&amp;dl=0" TargetMode="External"/><Relationship Id="rId233" Type="http://schemas.openxmlformats.org/officeDocument/2006/relationships/hyperlink" Target="https://www.dropbox.com/scl/fi/6pfiwx5290kvpztwypepp/39464.pdf?rlkey=78gttdtbrkiq1s8m2ydxb02d1&amp;dl=0" TargetMode="External"/><Relationship Id="rId440" Type="http://schemas.openxmlformats.org/officeDocument/2006/relationships/hyperlink" Target="https://www.dropbox.com/scl/fi/buwzyyeidd3x0kiqrutk0/39820.pdf?rlkey=wy84g2itfrguxdm6juizalmjy&amp;dl=0" TargetMode="External"/><Relationship Id="rId678" Type="http://schemas.openxmlformats.org/officeDocument/2006/relationships/hyperlink" Target="https://www.dropbox.com/scl/fi/wnipx3puznd8owhrj4d6f/40357.pdf?rlkey=rmvbn0jzrmw1yc43p89sny6ui&amp;dl=0" TargetMode="External"/><Relationship Id="rId885" Type="http://schemas.openxmlformats.org/officeDocument/2006/relationships/hyperlink" Target="https://www.dropbox.com/scl/fi/iqwspu5r3xqy508a7qbls/41555.pdf?rlkey=asoc79mh8c0w0zj7yrq0yg6pp&amp;dl=0" TargetMode="External"/><Relationship Id="rId28" Type="http://schemas.openxmlformats.org/officeDocument/2006/relationships/hyperlink" Target="https://www.dropbox.com/scl/fi/kqc7y1dziu2jhhbk033ud/41215.pdf?rlkey=1d1v5fwxjw3ee2g8vhx1aclpn&amp;dl=0" TargetMode="External"/><Relationship Id="rId300" Type="http://schemas.openxmlformats.org/officeDocument/2006/relationships/hyperlink" Target="https://www.dropbox.com/scl/fi/65qs6ofj8k9ln83cblr0e/39563.pdf?rlkey=sfbf53dkqoy9kyvm6jajcbw8n&amp;dl=0" TargetMode="External"/><Relationship Id="rId538" Type="http://schemas.openxmlformats.org/officeDocument/2006/relationships/hyperlink" Target="https://www.dropbox.com/scl/fi/4737m95mwwd4w1opslujt/40014.pdf?rlkey=z7ove2bzmzsjbn5gsoskv3hti&amp;dl=0" TargetMode="External"/><Relationship Id="rId745" Type="http://schemas.openxmlformats.org/officeDocument/2006/relationships/hyperlink" Target="https://www.dropbox.com/scl/fi/kw4oy5owch497e7gkdsox/40725.pdf?rlkey=9823xip8c55miafsyjr1b2ci3&amp;dl=0" TargetMode="External"/><Relationship Id="rId952" Type="http://schemas.openxmlformats.org/officeDocument/2006/relationships/hyperlink" Target="https://www.dropbox.com/scl/fi/9cpfqhauy8raeqni0dskr/41687.pdf?rlkey=p34tr0benw7nzrwq6fw62hzxt&amp;dl=0" TargetMode="External"/><Relationship Id="rId81" Type="http://schemas.openxmlformats.org/officeDocument/2006/relationships/hyperlink" Target="https://www.dropbox.com/scl/fi/91l9jfelq6aknsokw1dcm/41273.pdf?rlkey=tcglanxsehraiquv80pbzt25l&amp;dl=0" TargetMode="External"/><Relationship Id="rId177" Type="http://schemas.openxmlformats.org/officeDocument/2006/relationships/hyperlink" Target="https://www.dropbox.com/scl/fi/lxquqrdy8m6d78dg9p2dw/41295.pdf?rlkey=9chete6n63oir8pmje8hng7v9&amp;dl=0" TargetMode="External"/><Relationship Id="rId384" Type="http://schemas.openxmlformats.org/officeDocument/2006/relationships/hyperlink" Target="https://www.dropbox.com/scl/fi/bns31wp1b6fhzqobvlk9m/39710.pdf?rlkey=mk7fpemay73p0xryqexoj5yyy&amp;dl=0" TargetMode="External"/><Relationship Id="rId591" Type="http://schemas.openxmlformats.org/officeDocument/2006/relationships/hyperlink" Target="https://www.dropbox.com/scl/fi/uz4ksd3mk02wgdn4xla48/40115.pdf?rlkey=uzy2nmtarqbuu0zmgzidb7c95&amp;dl=0" TargetMode="External"/><Relationship Id="rId605" Type="http://schemas.openxmlformats.org/officeDocument/2006/relationships/hyperlink" Target="https://www.dropbox.com/scl/fi/8sr89kn3bn0zuld82v7jn/40146.pdf?rlkey=7c8ej979iepkgpt4kr66z4yfp&amp;dl=0" TargetMode="External"/><Relationship Id="rId812" Type="http://schemas.openxmlformats.org/officeDocument/2006/relationships/hyperlink" Target="https://www.dropbox.com/scl/fi/bya08ut83999e7xdjt81d/40972.pdf?rlkey=59p795ut3v8kwis11jjv5jt9x&amp;dl=0" TargetMode="External"/><Relationship Id="rId244" Type="http://schemas.openxmlformats.org/officeDocument/2006/relationships/hyperlink" Target="https://www.dropbox.com/scl/fi/fqiuwnqiz0qpobe4yoxkw/39487.pdf?rlkey=ig5xnvmpnx77wb4l05ti8jeo3&amp;dl=0" TargetMode="External"/><Relationship Id="rId689" Type="http://schemas.openxmlformats.org/officeDocument/2006/relationships/hyperlink" Target="https://www.dropbox.com/scl/fi/weh00w9pqaig2k8hm0bng/40385.pdf?rlkey=azfywndv8nos8m5u4r3314j8z&amp;dl=0" TargetMode="External"/><Relationship Id="rId896" Type="http://schemas.openxmlformats.org/officeDocument/2006/relationships/hyperlink" Target="https://www.dropbox.com/scl/fi/9gygazahbvt3xgjfmd3oq/41576.pdf?rlkey=jogo3rhkgdmum7mlcuitghgix&amp;dl=0" TargetMode="External"/><Relationship Id="rId39" Type="http://schemas.openxmlformats.org/officeDocument/2006/relationships/hyperlink" Target="https://www.dropbox.com/scl/fi/hrgmybkks7kcytd7rvp12/40999.pdf?rlkey=0q8nll211nemgcmicolfe9cl2&amp;dl=0" TargetMode="External"/><Relationship Id="rId451" Type="http://schemas.openxmlformats.org/officeDocument/2006/relationships/hyperlink" Target="https://www.dropbox.com/scl/fi/dh3pxji0ogvbnht0phgrt/39836.pdf?rlkey=a39pdmi6k4ihq3xphauwig0e0&amp;dl=0" TargetMode="External"/><Relationship Id="rId549" Type="http://schemas.openxmlformats.org/officeDocument/2006/relationships/hyperlink" Target="https://www.dropbox.com/scl/fi/5c8qlkwl4cibi99kxvr2k/40030.pdf?rlkey=uvmod3insr0ugd0u3mr3dm12w&amp;dl=0" TargetMode="External"/><Relationship Id="rId756" Type="http://schemas.openxmlformats.org/officeDocument/2006/relationships/hyperlink" Target="https://www.dropbox.com/scl/fi/i7jt5diyg823y10yry0i2/40777.pdf?rlkey=594q1r3jdvosxc5mb1dge910x&amp;dl=0" TargetMode="External"/><Relationship Id="rId104" Type="http://schemas.openxmlformats.org/officeDocument/2006/relationships/hyperlink" Target="https://www.dropbox.com/scl/fi/041figxbvjbclnsre97kg/41145.pdf?rlkey=ly3aked12g3oregy683fu38a4&amp;dl=0" TargetMode="External"/><Relationship Id="rId188" Type="http://schemas.openxmlformats.org/officeDocument/2006/relationships/hyperlink" Target="https://www.dropbox.com/scl/fi/qn440n6w808w9w74b1086/41338.pdf?rlkey=7230ncbou2w3b3v98f56x97zl&amp;dl=0" TargetMode="External"/><Relationship Id="rId311" Type="http://schemas.openxmlformats.org/officeDocument/2006/relationships/hyperlink" Target="https://www.dropbox.com/scl/fi/s2ru3zhg6dpx5n8vv16ns/39579.pdf?rlkey=tnq7hr3g4454urxcg8n25yz07&amp;dl=0" TargetMode="External"/><Relationship Id="rId395" Type="http://schemas.openxmlformats.org/officeDocument/2006/relationships/hyperlink" Target="https://www.dropbox.com/scl/fi/0m6ks80ohnkrsa17vnuwu/39732.pdf?rlkey=fgyrfjqy0zpwioudp3tqztfiq&amp;dl=0" TargetMode="External"/><Relationship Id="rId409" Type="http://schemas.openxmlformats.org/officeDocument/2006/relationships/hyperlink" Target="https://www.dropbox.com/scl/fi/u4vrbh5tojzjm01i4guhi/39769.pdf?rlkey=223n7wopiordybxpkt6r5eh6i&amp;dl=0" TargetMode="External"/><Relationship Id="rId963" Type="http://schemas.openxmlformats.org/officeDocument/2006/relationships/hyperlink" Target="https://www.dropbox.com/scl/fi/1r9eoadvfkfcvtehx2qr8/41702.pdf?rlkey=l4df69g88f27m6cw0i1waffws&amp;dl=0" TargetMode="External"/><Relationship Id="rId92" Type="http://schemas.openxmlformats.org/officeDocument/2006/relationships/hyperlink" Target="https://www.dropbox.com/scl/fi/ylidr89xnbcgwi5lio820/41386.pdf?rlkey=6yexez12rcqsz9bvm5nb47bpz&amp;dl=0" TargetMode="External"/><Relationship Id="rId616" Type="http://schemas.openxmlformats.org/officeDocument/2006/relationships/hyperlink" Target="https://www.dropbox.com/scl/fi/i7xa01ww3bhrdhmr2l0iv/40161.pdf?rlkey=9g16t37e08igsoym89jp3ob17&amp;dl=0" TargetMode="External"/><Relationship Id="rId823" Type="http://schemas.openxmlformats.org/officeDocument/2006/relationships/hyperlink" Target="https://www.dropbox.com/scl/fi/r7jm0p8q2eqh53mvhbmi9/41391.pdf?rlkey=hi3369il35fu5hrg3e5vp5h6z&amp;dl=0" TargetMode="External"/><Relationship Id="rId255" Type="http://schemas.openxmlformats.org/officeDocument/2006/relationships/hyperlink" Target="https://www.dropbox.com/scl/fi/xut2r5zt89io6m4dobsl4/39499.pdf?rlkey=df8afwvhxzjur5z4hljv1n4kt&amp;dl=0" TargetMode="External"/><Relationship Id="rId297" Type="http://schemas.openxmlformats.org/officeDocument/2006/relationships/hyperlink" Target="https://www.dropbox.com/scl/fi/ym0hmsoy9depdg8xp4jf0/39560.pdf?rlkey=vpkhl28b76vwn1qv0y2764739&amp;dl=0" TargetMode="External"/><Relationship Id="rId462" Type="http://schemas.openxmlformats.org/officeDocument/2006/relationships/hyperlink" Target="https://www.dropbox.com/scl/fi/gchh5h9yvp2v3z7paujjf/39854.pdf?rlkey=dcu3dt3vbgz2meigvo57ho04e&amp;dl=0" TargetMode="External"/><Relationship Id="rId518" Type="http://schemas.openxmlformats.org/officeDocument/2006/relationships/hyperlink" Target="https://www.dropbox.com/scl/fi/1ur4gjr44ghibx17f04vy/39973.pdf?rlkey=fmjwjnxxdh3p4z8yncf9bsonr&amp;dl=0" TargetMode="External"/><Relationship Id="rId725" Type="http://schemas.openxmlformats.org/officeDocument/2006/relationships/hyperlink" Target="https://www.dropbox.com/scl/fi/u2sc4ucr34kx2i54f0xa9/40480.pdf?rlkey=4j5tzp3u2uu399rl9vx0zl6rj&amp;dl=0" TargetMode="External"/><Relationship Id="rId932" Type="http://schemas.openxmlformats.org/officeDocument/2006/relationships/hyperlink" Target="https://www.dropbox.com/scl/fi/fbulp5960deyu94traj6g/41651.pdf?rlkey=3qbp4o5h7b4as77oaaxrws92j&amp;dl=0" TargetMode="External"/><Relationship Id="rId115" Type="http://schemas.openxmlformats.org/officeDocument/2006/relationships/hyperlink" Target="https://www.dropbox.com/scl/fi/pkf603vnqeqnppdefra9h/40819.pdf?rlkey=hcvd5smcw11easj31wmf7c840&amp;dl=0" TargetMode="External"/><Relationship Id="rId157" Type="http://schemas.openxmlformats.org/officeDocument/2006/relationships/hyperlink" Target="https://www.dropbox.com/scl/fi/ojyx169gd9nw7nrx0vr8y/41192.pdf?rlkey=23fd847dxbwln1rcto8pf5ozo&amp;dl=0" TargetMode="External"/><Relationship Id="rId322" Type="http://schemas.openxmlformats.org/officeDocument/2006/relationships/hyperlink" Target="https://www.dropbox.com/scl/fi/62of5nekk4a1ifppbgbzr/39599.pdf?rlkey=hf1ic8yoa1xg20p11elj73x0q&amp;dl=0" TargetMode="External"/><Relationship Id="rId364" Type="http://schemas.openxmlformats.org/officeDocument/2006/relationships/hyperlink" Target="https://www.dropbox.com/scl/fi/net3pw0zo6qu6npouliy2/39683.pdf?rlkey=xy5bjqj0hv5ti48ivh9jpbc9e&amp;dl=0" TargetMode="External"/><Relationship Id="rId767" Type="http://schemas.openxmlformats.org/officeDocument/2006/relationships/hyperlink" Target="https://www.dropbox.com/scl/fi/fpz3gyjbuw49aof93brr1/40825.pdf?rlkey=j1ylbhjluj6ejz9n6s22y2jrk&amp;dl=0" TargetMode="External"/><Relationship Id="rId61" Type="http://schemas.openxmlformats.org/officeDocument/2006/relationships/hyperlink" Target="https://www.dropbox.com/scl/fi/knpcavfw413814klrstip/41287.pdf?rlkey=65p4qyun26gl0m1983f9iqpjd&amp;dl=0" TargetMode="External"/><Relationship Id="rId199" Type="http://schemas.openxmlformats.org/officeDocument/2006/relationships/hyperlink" Target="https://www.dropbox.com/scl/fi/tmqkx86ww96u4ju50ma4i/39412.pdf?rlkey=j9yvkmkou7vweftxh37a4l8br&amp;dl=0" TargetMode="External"/><Relationship Id="rId571" Type="http://schemas.openxmlformats.org/officeDocument/2006/relationships/hyperlink" Target="https://www.dropbox.com/scl/fi/u9j5novdnv52ejtgxycm2/40085.pdf?rlkey=k9fluu61on05vuolznl67a3qd&amp;dl=0" TargetMode="External"/><Relationship Id="rId627" Type="http://schemas.openxmlformats.org/officeDocument/2006/relationships/hyperlink" Target="https://www.dropbox.com/scl/fi/oq5u3gzxza16by01gjk8e/40209.pdf?rlkey=y7tqgx3xcv5rluq56clv3ze6n&amp;dl=0" TargetMode="External"/><Relationship Id="rId669" Type="http://schemas.openxmlformats.org/officeDocument/2006/relationships/hyperlink" Target="https://www.dropbox.com/scl/fi/45sy86j7vgsz4spkpwf26/40334.pdf?rlkey=x8pw3tv91ji0cwv1lpxahzvvp&amp;dl=0" TargetMode="External"/><Relationship Id="rId834" Type="http://schemas.openxmlformats.org/officeDocument/2006/relationships/hyperlink" Target="https://www.dropbox.com/scl/fi/5dfztiocou43me8nwueer/41426.pdf?rlkey=gjarfg80h94r55gdsslbx2pjo&amp;dl=0" TargetMode="External"/><Relationship Id="rId876" Type="http://schemas.openxmlformats.org/officeDocument/2006/relationships/hyperlink" Target="https://www.dropbox.com/scl/fi/xpavlqw0psb35d1sb2kjf/41544.pdf?rlkey=7la1smvijazo4mdl0wr6nw8hv&amp;dl=0" TargetMode="External"/><Relationship Id="rId19" Type="http://schemas.openxmlformats.org/officeDocument/2006/relationships/hyperlink" Target="https://www.dropbox.com/scl/fi/gze7tax1sjq59o6487gcb/41272.pdf?rlkey=8yv00iytqn4ic3be515ixmziy&amp;dl=0" TargetMode="External"/><Relationship Id="rId224" Type="http://schemas.openxmlformats.org/officeDocument/2006/relationships/hyperlink" Target="https://www.dropbox.com/scl/fi/pgoxar64x3b1m3ehy0gp9/39454.pdf?rlkey=3u887mmnwm765qgcwfksvu517&amp;dl=0" TargetMode="External"/><Relationship Id="rId266" Type="http://schemas.openxmlformats.org/officeDocument/2006/relationships/hyperlink" Target="https://www.dropbox.com/scl/fi/s8k01cb22e7eq855moafs/39514.pdf?rlkey=btq9z16yg8ox3bvcks7jsgn8h&amp;dl=0" TargetMode="External"/><Relationship Id="rId431" Type="http://schemas.openxmlformats.org/officeDocument/2006/relationships/hyperlink" Target="https://www.dropbox.com/scl/fi/3u4h97paacupgjbf162r5/39799.pdf?rlkey=12hc6s8cjdgrh6yw530hk3a36&amp;dl=0" TargetMode="External"/><Relationship Id="rId473" Type="http://schemas.openxmlformats.org/officeDocument/2006/relationships/hyperlink" Target="https://www.dropbox.com/scl/fi/twqd8vrmf1al5enrc6s6e/39875.pdf?rlkey=v602ddmuy7q71gm1c0i4xrgnn&amp;dl=0" TargetMode="External"/><Relationship Id="rId529" Type="http://schemas.openxmlformats.org/officeDocument/2006/relationships/hyperlink" Target="https://www.dropbox.com/scl/fi/2cwofsmp0rjuo6090etya/39989.pdf?rlkey=ta0vzt4k2tdhj38gixl5vu6i1&amp;dl=0" TargetMode="External"/><Relationship Id="rId680" Type="http://schemas.openxmlformats.org/officeDocument/2006/relationships/hyperlink" Target="https://www.dropbox.com/scl/fi/vmc34ut3o7dodhowqopsn/40359.pdf?rlkey=8tubpufaz5uklsbpguvjv8so3&amp;dl=0" TargetMode="External"/><Relationship Id="rId736" Type="http://schemas.openxmlformats.org/officeDocument/2006/relationships/hyperlink" Target="https://www.dropbox.com/scl/fi/c939q62ki5ml466mi4czc/40534.pdf?rlkey=0i4r4wifzgpz659d0ol2e0jp6&amp;dl=0" TargetMode="External"/><Relationship Id="rId901" Type="http://schemas.openxmlformats.org/officeDocument/2006/relationships/hyperlink" Target="https://www.dropbox.com/scl/fi/l6av346x9ditwwn4lw3ba/41590.pdf?rlkey=238wdc5nbi7jmhv13ogbfxza0&amp;dl=0" TargetMode="External"/><Relationship Id="rId30" Type="http://schemas.openxmlformats.org/officeDocument/2006/relationships/hyperlink" Target="https://www.dropbox.com/scl/fi/gzr8zei1nsmsg612ay559/41347.pdf?rlkey=399u5aqk0i9pg451nc5qao2hr&amp;dl=0" TargetMode="External"/><Relationship Id="rId126" Type="http://schemas.openxmlformats.org/officeDocument/2006/relationships/hyperlink" Target="https://www.dropbox.com/scl/fi/qe45nz60ookh5870d9juo/41076.pdf?rlkey=v199gojil316jwfgapsud1v2p&amp;dl=0" TargetMode="External"/><Relationship Id="rId168" Type="http://schemas.openxmlformats.org/officeDocument/2006/relationships/hyperlink" Target="https://www.dropbox.com/scl/fi/a9s8ozhezg9bnwwnw7lxg/41225.pdf?rlkey=em1swh69en14lbhqj7k70s81i&amp;dl=0" TargetMode="External"/><Relationship Id="rId333" Type="http://schemas.openxmlformats.org/officeDocument/2006/relationships/hyperlink" Target="https://www.dropbox.com/scl/fi/tlwg3hlqxcrvno7ue9oaw/39626.pdf?rlkey=phcowpo54qjzpcl8sxc9pvaf8&amp;dl=0" TargetMode="External"/><Relationship Id="rId540" Type="http://schemas.openxmlformats.org/officeDocument/2006/relationships/hyperlink" Target="https://www.dropbox.com/scl/fi/5kzoju98e7tm43mku5n44/40016.pdf?rlkey=tlcngutos2fsqyt8dvabmseen&amp;dl=0" TargetMode="External"/><Relationship Id="rId778" Type="http://schemas.openxmlformats.org/officeDocument/2006/relationships/hyperlink" Target="https://www.dropbox.com/scl/fi/dz3oqilrmr9z6m7sx25uh/40881.pdf?rlkey=5w91xfvevi9gwcs9shtitwace&amp;dl=0" TargetMode="External"/><Relationship Id="rId943" Type="http://schemas.openxmlformats.org/officeDocument/2006/relationships/hyperlink" Target="https://www.dropbox.com/scl/fi/mz2rv3lh3733wi130nxqi/41674.pdf?rlkey=l67docskb5cj4yuom586fxkl2&amp;dl=0" TargetMode="External"/><Relationship Id="rId72" Type="http://schemas.openxmlformats.org/officeDocument/2006/relationships/hyperlink" Target="https://www.dropbox.com/scl/fi/hmd2qvdoqmv7mutwmgftt/41117.pdf?rlkey=j5kx8qaj4e4ftpmkz766eiavb&amp;dl=0" TargetMode="External"/><Relationship Id="rId375" Type="http://schemas.openxmlformats.org/officeDocument/2006/relationships/hyperlink" Target="https://www.dropbox.com/scl/fi/ylluqxedftx9w7z7xrdjw/39699.pdf?rlkey=kqxnlar0pkogslof2jk564hdd&amp;dl=0" TargetMode="External"/><Relationship Id="rId582" Type="http://schemas.openxmlformats.org/officeDocument/2006/relationships/hyperlink" Target="https://www.dropbox.com/scl/fi/28lty2nrer56zbdpeabfh/40099.pdf?rlkey=vmrkm2aatwmmzwxerw6foa9sp&amp;dl=0" TargetMode="External"/><Relationship Id="rId638" Type="http://schemas.openxmlformats.org/officeDocument/2006/relationships/hyperlink" Target="https://www.dropbox.com/scl/fi/l8gi94om0h0q22vrizuox/40250.pdf?rlkey=ep1dsp9ltyna2lpw4xwon0x1b&amp;dl=0" TargetMode="External"/><Relationship Id="rId803" Type="http://schemas.openxmlformats.org/officeDocument/2006/relationships/hyperlink" Target="https://www.dropbox.com/scl/fi/jffk5hsrizipclfumqxu6/40951.pdf?rlkey=zu1zlzjdoonnldn6ost3uczmt&amp;dl=0" TargetMode="External"/><Relationship Id="rId845" Type="http://schemas.openxmlformats.org/officeDocument/2006/relationships/hyperlink" Target="https://www.dropbox.com/scl/fi/z24o0efqs9nqh87omps5y/41465.pdf?rlkey=y3c462uzln9dm0mvgn5md8tyq&amp;dl=0" TargetMode="External"/><Relationship Id="rId3" Type="http://schemas.openxmlformats.org/officeDocument/2006/relationships/hyperlink" Target="https://www.dropbox.com/scl/fi/c8ylaqb2yzy5nm6zxg35a/41185.pdf?rlkey=t8e25tmkf2ntv2mr1j4rr49ws&amp;dl=0" TargetMode="External"/><Relationship Id="rId235" Type="http://schemas.openxmlformats.org/officeDocument/2006/relationships/hyperlink" Target="https://www.dropbox.com/scl/fi/ce7t7o6xwuoxdv6ncle4i/39473.pdf?rlkey=ykb4f25sbif9foh7lugcfetqo&amp;dl=0" TargetMode="External"/><Relationship Id="rId277" Type="http://schemas.openxmlformats.org/officeDocument/2006/relationships/hyperlink" Target="https://www.dropbox.com/scl/fi/sq3nfdguivjlr09lrtqaf/39535.pdf?rlkey=7ahitr2az9dokqqv9uj5staao&amp;dl=0" TargetMode="External"/><Relationship Id="rId400" Type="http://schemas.openxmlformats.org/officeDocument/2006/relationships/hyperlink" Target="https://www.dropbox.com/scl/fi/rzre23cg3qsff3nqvepj1/39752.pdf?rlkey=xj30xuydndrqvdew0f635jlt1&amp;dl=0" TargetMode="External"/><Relationship Id="rId442" Type="http://schemas.openxmlformats.org/officeDocument/2006/relationships/hyperlink" Target="https://www.dropbox.com/scl/fi/pz03hgb2y6ks9on63u95e/39822.pdf?rlkey=mexr20s24gwdqt8t9io5r9c4s&amp;dl=0" TargetMode="External"/><Relationship Id="rId484" Type="http://schemas.openxmlformats.org/officeDocument/2006/relationships/hyperlink" Target="https://www.dropbox.com/scl/fi/s2wzlrqu50dfwzx7v4nq0/39896.pdf?rlkey=chcug71y5rk3up5lxec8dmy8c&amp;dl=0" TargetMode="External"/><Relationship Id="rId705" Type="http://schemas.openxmlformats.org/officeDocument/2006/relationships/hyperlink" Target="https://www.dropbox.com/scl/fi/qahb2m74nhlnk1k17pmgy/40409.pdf?rlkey=culine6zvrz896nl1dmrxj0rr&amp;dl=0" TargetMode="External"/><Relationship Id="rId887" Type="http://schemas.openxmlformats.org/officeDocument/2006/relationships/hyperlink" Target="https://www.dropbox.com/scl/fi/an0x69198jmcuvzikttl1/41558.pdf?rlkey=j5pzbw6bfzpi0y37kniuxh2d3&amp;dl=0" TargetMode="External"/><Relationship Id="rId137" Type="http://schemas.openxmlformats.org/officeDocument/2006/relationships/hyperlink" Target="https://www.dropbox.com/scl/fi/skl95au1ug0ez3zhj3cw2/41139.pdf?rlkey=fccnyx5r913gfxwvf38ow8vsn&amp;dl=0" TargetMode="External"/><Relationship Id="rId302" Type="http://schemas.openxmlformats.org/officeDocument/2006/relationships/hyperlink" Target="https://www.dropbox.com/scl/fi/928jz792rv8dgirhyfkwd/39568.pdf?rlkey=dzqftidrh36mn3k29api4wvt6&amp;dl=0" TargetMode="External"/><Relationship Id="rId344" Type="http://schemas.openxmlformats.org/officeDocument/2006/relationships/hyperlink" Target="https://www.dropbox.com/scl/fi/bxxvwlzczpdj17y34jxak/39649.pdf?rlkey=9krwef13ndpdkn3t74zenn7zf&amp;dl=0" TargetMode="External"/><Relationship Id="rId691" Type="http://schemas.openxmlformats.org/officeDocument/2006/relationships/hyperlink" Target="https://www.dropbox.com/scl/fi/683ooa2wmzqudnvpwir67/40387.pdf?rlkey=9g07rn1opzm4atwljah55naez&amp;dl=0" TargetMode="External"/><Relationship Id="rId747" Type="http://schemas.openxmlformats.org/officeDocument/2006/relationships/hyperlink" Target="https://www.dropbox.com/scl/fi/2ms2mcun2k2oogk30ffzg/40730.pdf?rlkey=ds33yn821esyea2zv7xi1nin7&amp;dl=0" TargetMode="External"/><Relationship Id="rId789" Type="http://schemas.openxmlformats.org/officeDocument/2006/relationships/hyperlink" Target="https://www.dropbox.com/scl/fi/1a60coiuymjfow2x17h1r/40908.pdf?rlkey=34g8qgdkxjxoifwsotqf8122w&amp;dl=0" TargetMode="External"/><Relationship Id="rId912" Type="http://schemas.openxmlformats.org/officeDocument/2006/relationships/hyperlink" Target="https://www.dropbox.com/scl/fi/vcddv9xzur6u226tcm37o/41605.pdf?rlkey=oyhm5rofh1b56nbn2es8lvohu&amp;dl=0" TargetMode="External"/><Relationship Id="rId954" Type="http://schemas.openxmlformats.org/officeDocument/2006/relationships/hyperlink" Target="https://www.dropbox.com/scl/fi/wbk7e1qb0578g1j52gmjc/41689.pdf?rlkey=hnoa8g4hxezcj43frhl7h1gye&amp;dl=0" TargetMode="External"/><Relationship Id="rId41" Type="http://schemas.openxmlformats.org/officeDocument/2006/relationships/hyperlink" Target="https://www.dropbox.com/scl/fi/je652eczghfao7ol85efr/40998.pdf?rlkey=0ml29fy67dkw3lweu4jutc1fi&amp;dl=0" TargetMode="External"/><Relationship Id="rId83" Type="http://schemas.openxmlformats.org/officeDocument/2006/relationships/hyperlink" Target="https://www.dropbox.com/scl/fi/794b0972ukjxqctvbj1vi/41326.pdf?rlkey=ng3zku3dxq62so1y0en8rrwtx&amp;dl=0" TargetMode="External"/><Relationship Id="rId179" Type="http://schemas.openxmlformats.org/officeDocument/2006/relationships/hyperlink" Target="https://www.dropbox.com/scl/fi/jhgy36i3w9fsxfvghx55b/41297.pdf?rlkey=467qrqxhmlr6tzwhorq2n2up8&amp;dl=0" TargetMode="External"/><Relationship Id="rId386" Type="http://schemas.openxmlformats.org/officeDocument/2006/relationships/hyperlink" Target="https://www.dropbox.com/scl/fi/jd1a593zqkl248awuvbj8/39712.pdf?rlkey=tripjvdmcut5v0fbdd1sngvk1&amp;dl=0" TargetMode="External"/><Relationship Id="rId551" Type="http://schemas.openxmlformats.org/officeDocument/2006/relationships/hyperlink" Target="https://www.dropbox.com/scl/fi/1r6w5wgbqtt5au4tmbroz/40033.pdf?rlkey=a21moq6gwq1ovfspeu93k9679&amp;dl=0" TargetMode="External"/><Relationship Id="rId593" Type="http://schemas.openxmlformats.org/officeDocument/2006/relationships/hyperlink" Target="https://www.dropbox.com/scl/fi/dvti20cz5xegcy26ae0e4/40117.pdf?rlkey=oc6gr3ihcbwsqszognw7q8nli&amp;dl=0" TargetMode="External"/><Relationship Id="rId607" Type="http://schemas.openxmlformats.org/officeDocument/2006/relationships/hyperlink" Target="https://www.dropbox.com/scl/fi/9wvy9hwqku8snh04u5g9s/40148.pdf?rlkey=g7y56hxkwtnzrdn5a2scdu8dp&amp;dl=0" TargetMode="External"/><Relationship Id="rId649" Type="http://schemas.openxmlformats.org/officeDocument/2006/relationships/hyperlink" Target="https://www.dropbox.com/scl/fi/qozp76xh33mple3hrtm53/40261.pdf?rlkey=7du57vsgfuygx4p39ekgeo0ye&amp;dl=0" TargetMode="External"/><Relationship Id="rId814" Type="http://schemas.openxmlformats.org/officeDocument/2006/relationships/hyperlink" Target="https://www.dropbox.com/scl/fi/ksid671hss0f9ceegxkx2/40978.pdf?rlkey=je3wawnd28x2z2hsmzw43g8xx&amp;dl=0" TargetMode="External"/><Relationship Id="rId856" Type="http://schemas.openxmlformats.org/officeDocument/2006/relationships/hyperlink" Target="https://www.dropbox.com/scl/fi/nnmf18e9cpfy1roykybw4/41506.pdf?rlkey=e8kynf6cgv77bg2nrq07a684b&amp;dl=0" TargetMode="External"/><Relationship Id="rId190" Type="http://schemas.openxmlformats.org/officeDocument/2006/relationships/hyperlink" Target="https://www.dropbox.com/scl/fi/ojwcvrhn2t1dmjgmjsdvc/41342.pdf?rlkey=b7ix76kufej3p222lf88ppxau&amp;dl=0" TargetMode="External"/><Relationship Id="rId204" Type="http://schemas.openxmlformats.org/officeDocument/2006/relationships/hyperlink" Target="https://www.dropbox.com/scl/fi/ka3w5c1vkrkwhqt5f6j13/39421.pdf?rlkey=clvt7ftl6jk8h3p2n8xl7bk4p&amp;dl=0" TargetMode="External"/><Relationship Id="rId246" Type="http://schemas.openxmlformats.org/officeDocument/2006/relationships/hyperlink" Target="https://www.dropbox.com/scl/fi/s1fs38kh2zaeodmj078dx/39489.pdf?rlkey=pvbuoqb3krv9mncyccb2ra2xh&amp;dl=0" TargetMode="External"/><Relationship Id="rId288" Type="http://schemas.openxmlformats.org/officeDocument/2006/relationships/hyperlink" Target="https://www.dropbox.com/scl/fi/gdes6uyh8d5kc2riso81i/39549.pdf?rlkey=alq5ujsjj065e1o8t69xga1bz&amp;dl=0" TargetMode="External"/><Relationship Id="rId411" Type="http://schemas.openxmlformats.org/officeDocument/2006/relationships/hyperlink" Target="https://www.dropbox.com/scl/fi/rygsp77yk3opj54wgpike/39773.pdf?rlkey=3sq2xfrnh6thsvr2mu5eb9qun&amp;dl=0" TargetMode="External"/><Relationship Id="rId453" Type="http://schemas.openxmlformats.org/officeDocument/2006/relationships/hyperlink" Target="https://www.dropbox.com/scl/fi/ny3rebhe08hha1j8jbwl0/39839.pdf?rlkey=2lo40l2caow4789iz6lzvtqwa&amp;dl=0" TargetMode="External"/><Relationship Id="rId509" Type="http://schemas.openxmlformats.org/officeDocument/2006/relationships/hyperlink" Target="https://www.dropbox.com/scl/fi/javeovxch5rajxu8qlhvr/39944.pdf?rlkey=2qf32koyidhx6oy5mya99eg71&amp;dl=0" TargetMode="External"/><Relationship Id="rId660" Type="http://schemas.openxmlformats.org/officeDocument/2006/relationships/hyperlink" Target="https://www.dropbox.com/scl/fi/2zmh8ekrmjanq2eq1y2ky/40306.pdf?rlkey=kh9jodqfh7ilcilv5gkfog2e9&amp;dl=0" TargetMode="External"/><Relationship Id="rId898" Type="http://schemas.openxmlformats.org/officeDocument/2006/relationships/hyperlink" Target="https://www.dropbox.com/scl/fi/0clp0t6fkm6ti9u9lt8w7/41581.pdf?rlkey=2v2b7sydg82pcs2wbddam4x5a&amp;dl=0" TargetMode="External"/><Relationship Id="rId106" Type="http://schemas.openxmlformats.org/officeDocument/2006/relationships/hyperlink" Target="https://www.dropbox.com/scl/fi/j95ue82gwn0nr38uj5l7x/41361.pdf?rlkey=enpexdsm7rj2fi6ylz40ydnq9&amp;dl=0" TargetMode="External"/><Relationship Id="rId313" Type="http://schemas.openxmlformats.org/officeDocument/2006/relationships/hyperlink" Target="https://www.dropbox.com/scl/fi/h03b0y384n8k3zpgealcc/39581.pdf?rlkey=cc2xhxw479mw0h2kt35q43137&amp;dl=0" TargetMode="External"/><Relationship Id="rId495" Type="http://schemas.openxmlformats.org/officeDocument/2006/relationships/hyperlink" Target="https://www.dropbox.com/scl/fi/kp9ojvc5a2w3zywt5xqlx/39918.pdf?rlkey=c7gegmtb8m94fe1u4ytt9qk3e&amp;dl=0" TargetMode="External"/><Relationship Id="rId716" Type="http://schemas.openxmlformats.org/officeDocument/2006/relationships/hyperlink" Target="https://www.dropbox.com/scl/fi/0un2uwiek4w5c7geak1ic/40453.pdf?rlkey=czel9xbsomadw8gkqwgki8hxi&amp;dl=0" TargetMode="External"/><Relationship Id="rId758" Type="http://schemas.openxmlformats.org/officeDocument/2006/relationships/hyperlink" Target="https://www.dropbox.com/scl/fi/rqt8xyu471woy7w2v6u56/40789.pdf?rlkey=fmpm6trijodr9a03udal8u41j&amp;dl=0" TargetMode="External"/><Relationship Id="rId923" Type="http://schemas.openxmlformats.org/officeDocument/2006/relationships/hyperlink" Target="https://www.dropbox.com/scl/fi/268wrnjaprs4y3dc1zk6c/41635.pdf?rlkey=bjn04hqk8vryguq2kq03dtyww&amp;dl=0" TargetMode="External"/><Relationship Id="rId965" Type="http://schemas.openxmlformats.org/officeDocument/2006/relationships/hyperlink" Target="https://www.dropbox.com/scl/fi/ylepb5hzhtwblng0uns0l/41704.pdf?rlkey=pqon5a5mg8b61t256g2qw7b1x&amp;dl=0" TargetMode="External"/><Relationship Id="rId10" Type="http://schemas.openxmlformats.org/officeDocument/2006/relationships/hyperlink" Target="https://www.dropbox.com/scl/fi/jw984vkxhbwtqclj5zdye/40787.pdf?rlkey=dfemup6iwdr0bzkfc6wwi7bu2&amp;dl=0" TargetMode="External"/><Relationship Id="rId52" Type="http://schemas.openxmlformats.org/officeDocument/2006/relationships/hyperlink" Target="https://www.dropbox.com/scl/fi/8ji1hv4ooacsy3k2t9zdh/41000.pdf?rlkey=hz7cpwbacnfxj3c1v8qc44qlk&amp;dl=0" TargetMode="External"/><Relationship Id="rId94" Type="http://schemas.openxmlformats.org/officeDocument/2006/relationships/hyperlink" Target="https://www.dropbox.com/scl/fi/ltlg2sby7fcm9nf6g0td4/40992.pdf?rlkey=c2cijad7ss9ucndu5zb1z0dg4&amp;dl=0" TargetMode="External"/><Relationship Id="rId148" Type="http://schemas.openxmlformats.org/officeDocument/2006/relationships/hyperlink" Target="https://www.dropbox.com/scl/fi/ptx1j26azcz20p27xbjgd/41173.pdf?rlkey=vm0t6vy6nnsx0z3vy2es8bhwn&amp;dl=0" TargetMode="External"/><Relationship Id="rId355" Type="http://schemas.openxmlformats.org/officeDocument/2006/relationships/hyperlink" Target="https://www.dropbox.com/scl/fi/vi3h1didxfynr7umgi1sy/39667.pdf?rlkey=1iko27ltwhycnx6elx706kzuv&amp;dl=0" TargetMode="External"/><Relationship Id="rId397" Type="http://schemas.openxmlformats.org/officeDocument/2006/relationships/hyperlink" Target="https://www.dropbox.com/scl/fi/xicmk7f1rprhzgldalg67/39745.pdf?rlkey=6h164vu1er2kua6xfozvzgw9w&amp;dl=0" TargetMode="External"/><Relationship Id="rId520" Type="http://schemas.openxmlformats.org/officeDocument/2006/relationships/hyperlink" Target="https://www.dropbox.com/scl/fi/ljmf81pxokmsxks2ifxok/39975.pdf?rlkey=wlgehx7qar70waqnjhqdt5050&amp;dl=0" TargetMode="External"/><Relationship Id="rId562" Type="http://schemas.openxmlformats.org/officeDocument/2006/relationships/hyperlink" Target="https://www.dropbox.com/scl/fi/uyx9labc27p0s32xrbq36/40071.pdf?rlkey=82thenxdgz5dgywml7v6av4xb&amp;dl=0" TargetMode="External"/><Relationship Id="rId618" Type="http://schemas.openxmlformats.org/officeDocument/2006/relationships/hyperlink" Target="https://www.dropbox.com/scl/fi/qe8rljnyoq8jaovghi816/40164.pdf?rlkey=09fvrvjff6env49y3siz1p1lr&amp;dl=0" TargetMode="External"/><Relationship Id="rId825" Type="http://schemas.openxmlformats.org/officeDocument/2006/relationships/hyperlink" Target="https://www.dropbox.com/scl/fi/7b0t6dq8g4tyh61ty0eie/41403.pdf?rlkey=4xv0xiz7edjw7qvdhd3plkwcj&amp;dl=0" TargetMode="External"/><Relationship Id="rId215" Type="http://schemas.openxmlformats.org/officeDocument/2006/relationships/hyperlink" Target="https://www.dropbox.com/scl/fi/fb49f7k3t8gqmfpwlu0vb/39435.pdf?rlkey=3tmh29n4zhybe6uoswc8vf82o&amp;dl=0" TargetMode="External"/><Relationship Id="rId257" Type="http://schemas.openxmlformats.org/officeDocument/2006/relationships/hyperlink" Target="https://www.dropbox.com/scl/fi/ldn11gtlwksia2bqoyes2/39501.pdf?rlkey=hhwu49zk3evcvrzy6xlbu4t1w&amp;dl=0" TargetMode="External"/><Relationship Id="rId422" Type="http://schemas.openxmlformats.org/officeDocument/2006/relationships/hyperlink" Target="https://www.dropbox.com/scl/fi/b39h84fe7qy8txnvwboq3/39785.pdf?rlkey=1ig23epp9rgrtjxxif1j15k9y&amp;dl=0" TargetMode="External"/><Relationship Id="rId464" Type="http://schemas.openxmlformats.org/officeDocument/2006/relationships/hyperlink" Target="https://www.dropbox.com/scl/fi/jyv393oujha8zojb6b90v/39859.pdf?rlkey=obc58tvovcuy91qnw5qpdild9&amp;dl=0" TargetMode="External"/><Relationship Id="rId867" Type="http://schemas.openxmlformats.org/officeDocument/2006/relationships/hyperlink" Target="https://www.dropbox.com/scl/fi/eejld70i3szzujy5000kg/41530.pdf?rlkey=x9i9zp0zasg9d5buzd7vluikg&amp;dl=0" TargetMode="External"/><Relationship Id="rId299" Type="http://schemas.openxmlformats.org/officeDocument/2006/relationships/hyperlink" Target="https://www.dropbox.com/scl/fi/ali9366jkqwx1liwo6ojm/39562.pdf?rlkey=c5tw6xg8jsb0dt07682i20r2s&amp;dl=0" TargetMode="External"/><Relationship Id="rId727" Type="http://schemas.openxmlformats.org/officeDocument/2006/relationships/hyperlink" Target="https://www.dropbox.com/scl/fi/fp16mkx0kvodo6dit2hcz/40487.pdf?rlkey=wbugi893ofsbj405a2f4u9lsh&amp;dl=0" TargetMode="External"/><Relationship Id="rId934" Type="http://schemas.openxmlformats.org/officeDocument/2006/relationships/hyperlink" Target="https://www.dropbox.com/scl/fi/j6axr13mh5kxixjbxaf2j/41655.pdf?rlkey=qjhe5of2kuvyvwkz3dxwyxib0&amp;dl=0" TargetMode="External"/><Relationship Id="rId63" Type="http://schemas.openxmlformats.org/officeDocument/2006/relationships/hyperlink" Target="https://www.dropbox.com/scl/fi/4vv3k711y63426gdq9iv8/41233.pdf?rlkey=gd2bj5mbz27xayl3xn27tkzp4&amp;dl=0" TargetMode="External"/><Relationship Id="rId159" Type="http://schemas.openxmlformats.org/officeDocument/2006/relationships/hyperlink" Target="https://www.dropbox.com/scl/fi/7xl7oj1kp0o9ulmoraxs3/41207.pdf?rlkey=0n3fjg9w1eunoxy3hivfmi35k&amp;dl=0" TargetMode="External"/><Relationship Id="rId366" Type="http://schemas.openxmlformats.org/officeDocument/2006/relationships/hyperlink" Target="https://www.dropbox.com/scl/fi/ycbjrjblh0hqimpwi6bmm/39685.pdf?rlkey=mlv8q5f1v5kspoqe4ejqojh9h&amp;dl=0" TargetMode="External"/><Relationship Id="rId573" Type="http://schemas.openxmlformats.org/officeDocument/2006/relationships/hyperlink" Target="https://www.dropbox.com/scl/fi/ptfef4f4hqxb59wf0wacb/40087.pdf?rlkey=jr7d75cv88x4on6u4915en10u&amp;dl=0" TargetMode="External"/><Relationship Id="rId780" Type="http://schemas.openxmlformats.org/officeDocument/2006/relationships/hyperlink" Target="https://www.dropbox.com/scl/fi/0sg4wc7l5kx71g6hl5e4f/40884.pdf?rlkey=0xl3ri3ms2zgnmzyqwsub6ppd&amp;dl=0" TargetMode="External"/><Relationship Id="rId226" Type="http://schemas.openxmlformats.org/officeDocument/2006/relationships/hyperlink" Target="https://www.dropbox.com/scl/fi/t414zgh7x4va2nh5lc9aw/39456.pdf?rlkey=h33ayptrv328d2k733y54mx8z&amp;dl=0" TargetMode="External"/><Relationship Id="rId433" Type="http://schemas.openxmlformats.org/officeDocument/2006/relationships/hyperlink" Target="https://www.dropbox.com/scl/fi/xj7vajapo5xr3f108o1kd/39811.pdf?rlkey=d90on6sdv4rd93wi83fd8wxf4&amp;dl=0" TargetMode="External"/><Relationship Id="rId878" Type="http://schemas.openxmlformats.org/officeDocument/2006/relationships/hyperlink" Target="https://www.dropbox.com/scl/fi/nee177m853hn3o9wf1otg/41546.pdf?rlkey=7agf55je8hwj7biooy7wgzkm4&amp;dl=0" TargetMode="External"/><Relationship Id="rId640" Type="http://schemas.openxmlformats.org/officeDocument/2006/relationships/hyperlink" Target="https://www.dropbox.com/scl/fi/huj8a6td1xswplya0xrdl/40252.pdf?rlkey=e2ghraj24jognwmt0esbcxvzo&amp;dl=0" TargetMode="External"/><Relationship Id="rId738" Type="http://schemas.openxmlformats.org/officeDocument/2006/relationships/hyperlink" Target="https://www.dropbox.com/scl/fi/6d0ehfhx0m6b7mfskhyvg/40536.pdf?rlkey=athdw5umqv20p5g7vxh72vas7&amp;dl=0" TargetMode="External"/><Relationship Id="rId945" Type="http://schemas.openxmlformats.org/officeDocument/2006/relationships/hyperlink" Target="https://www.dropbox.com/scl/fi/kadaxn9lpxkkwdwghwv7d/41679.pdf?rlkey=vf81k3d90zxbn5icyvgtb7zqf&amp;dl=0" TargetMode="External"/><Relationship Id="rId74" Type="http://schemas.openxmlformats.org/officeDocument/2006/relationships/hyperlink" Target="https://www.dropbox.com/scl/fi/dog3aaqj9g4cnfft5z64h/40024.pdf?rlkey=z2xkybgql0oqwd1ebzvve60lr&amp;dl=0" TargetMode="External"/><Relationship Id="rId377" Type="http://schemas.openxmlformats.org/officeDocument/2006/relationships/hyperlink" Target="https://www.dropbox.com/scl/fi/cx3opuooyttpekkcg2vn5/39702.pdf?rlkey=9os9bjysk12qr4zc32c4ls14d&amp;dl=0" TargetMode="External"/><Relationship Id="rId500" Type="http://schemas.openxmlformats.org/officeDocument/2006/relationships/hyperlink" Target="https://www.dropbox.com/scl/fi/kaknbgex2scgzwbrl5gx7/39934.pdf?rlkey=9g3l5ugwinwq8jn9zt5xvrhhk&amp;dl=0" TargetMode="External"/><Relationship Id="rId584" Type="http://schemas.openxmlformats.org/officeDocument/2006/relationships/hyperlink" Target="https://www.dropbox.com/scl/fi/vtiuatj97pyrm66s8dz84/40102.pdf?rlkey=cxa17xrcqbffyo4o22o59juff&amp;dl=0" TargetMode="External"/><Relationship Id="rId805" Type="http://schemas.openxmlformats.org/officeDocument/2006/relationships/hyperlink" Target="https://www.dropbox.com/scl/fi/njz8yfddsyl5kc6fd20ht/40953.pdf?rlkey=viqbsd8ze74o0rwfndu7u2xl9&amp;dl=0" TargetMode="External"/><Relationship Id="rId5" Type="http://schemas.openxmlformats.org/officeDocument/2006/relationships/hyperlink" Target="https://www.dropbox.com/scl/fi/w3xgjen4vxsljtgabmn3o/40879.pdf?rlkey=vg7weuksi4fe24zjhq2pzixk8&amp;dl=0" TargetMode="External"/><Relationship Id="rId237" Type="http://schemas.openxmlformats.org/officeDocument/2006/relationships/hyperlink" Target="https://www.dropbox.com/scl/fi/ff6vsftemisez8c27rxte/39475.pdf?rlkey=4ayhte7kgupq40gr0823qdh3e&amp;dl=0" TargetMode="External"/><Relationship Id="rId791" Type="http://schemas.openxmlformats.org/officeDocument/2006/relationships/hyperlink" Target="https://www.dropbox.com/scl/fi/ck82vtto8uo823u99k15l/40910.pdf?rlkey=umtgmg61x3c3k67g5ks3oiqn1&amp;dl=0" TargetMode="External"/><Relationship Id="rId889" Type="http://schemas.openxmlformats.org/officeDocument/2006/relationships/hyperlink" Target="https://www.dropbox.com/scl/fi/c0l4clg1yztkvh52xa55w/41565.pdf?rlkey=zj5bbpqm8oiiwf7r5ew2dxsg0&amp;dl=0" TargetMode="External"/><Relationship Id="rId444" Type="http://schemas.openxmlformats.org/officeDocument/2006/relationships/hyperlink" Target="https://www.dropbox.com/scl/fi/vmisgv3ucqtcxcc7r5kux/39825.pdf?rlkey=sdvbjnygtdsa113pcuzm58hob&amp;dl=0" TargetMode="External"/><Relationship Id="rId651" Type="http://schemas.openxmlformats.org/officeDocument/2006/relationships/hyperlink" Target="https://www.dropbox.com/scl/fi/9ayd91t9af2at6c39846u/40263.pdf?rlkey=851i31uzw560xied6aznnuim3&amp;dl=0" TargetMode="External"/><Relationship Id="rId749" Type="http://schemas.openxmlformats.org/officeDocument/2006/relationships/hyperlink" Target="https://www.dropbox.com/scl/fi/76i6dvkthiuizwtbztoim/40732.pdf?rlkey=4zbgyhom4hfrgknhpbszkldl2&amp;dl=0" TargetMode="External"/><Relationship Id="rId290" Type="http://schemas.openxmlformats.org/officeDocument/2006/relationships/hyperlink" Target="https://www.dropbox.com/scl/fi/bfc0mcsbzd42i2oa3ssqi/39551.pdf?rlkey=o2smogb9awhop3gdl3i5r32f1&amp;dl=0" TargetMode="External"/><Relationship Id="rId304" Type="http://schemas.openxmlformats.org/officeDocument/2006/relationships/hyperlink" Target="https://www.dropbox.com/scl/fi/nb0yu9fktn3qn3zsmjowf/39570.pdf?rlkey=tt0tsyv9hfk6qnfo1slt30fca&amp;dl=0" TargetMode="External"/><Relationship Id="rId388" Type="http://schemas.openxmlformats.org/officeDocument/2006/relationships/hyperlink" Target="https://www.dropbox.com/scl/fi/hsyboueymup6zczyln0w8/39716.pdf?rlkey=7n0pugw6ov3p8awl3qqw2pglm&amp;dl=0" TargetMode="External"/><Relationship Id="rId511" Type="http://schemas.openxmlformats.org/officeDocument/2006/relationships/hyperlink" Target="https://www.dropbox.com/scl/fi/il8r7ciep1x3cipsxvuee/39954.pdf?rlkey=sz9lbpdfx2m5b7gzdmgvne0xn&amp;dl=0" TargetMode="External"/><Relationship Id="rId609" Type="http://schemas.openxmlformats.org/officeDocument/2006/relationships/hyperlink" Target="https://www.dropbox.com/scl/fi/hq9pm5q39rh161933cxie/40150.pdf?rlkey=6it68z07ywoi9x0yz5yiunfg5&amp;dl=0" TargetMode="External"/><Relationship Id="rId956" Type="http://schemas.openxmlformats.org/officeDocument/2006/relationships/hyperlink" Target="https://www.dropbox.com/scl/fi/jt1vr03voc2nkewww8676/41691.pdf?rlkey=n2kannhm29wm52ly47nebngwq&amp;dl=0" TargetMode="External"/><Relationship Id="rId85" Type="http://schemas.openxmlformats.org/officeDocument/2006/relationships/hyperlink" Target="https://www.dropbox.com/scl/fi/0pbcoocijtcs001vtp2sm/41075.pdf?rlkey=jz6hxmcpwj6tg79nttrukcylx&amp;dl=0" TargetMode="External"/><Relationship Id="rId150" Type="http://schemas.openxmlformats.org/officeDocument/2006/relationships/hyperlink" Target="https://www.dropbox.com/scl/fi/3e4w1v4iqsj1i9oz5h2st/41175.pdf?rlkey=rvpq496oo358pwlkk5y48rf1t&amp;dl=0" TargetMode="External"/><Relationship Id="rId595" Type="http://schemas.openxmlformats.org/officeDocument/2006/relationships/hyperlink" Target="https://www.dropbox.com/scl/fi/wjmejxgztcc9pfi6umqts/40133.pdf?rlkey=8aeu2835thecg3umlqo1tj39y&amp;dl=0" TargetMode="External"/><Relationship Id="rId816" Type="http://schemas.openxmlformats.org/officeDocument/2006/relationships/hyperlink" Target="https://www.dropbox.com/scl/fi/7h47pkb18svukr1ovgnt5/40989.pdf?rlkey=lxfb92ihu4shm8lrm7r4f3k2i&amp;dl=0" TargetMode="External"/><Relationship Id="rId248" Type="http://schemas.openxmlformats.org/officeDocument/2006/relationships/hyperlink" Target="https://www.dropbox.com/scl/fi/hejxb0elynt1aqbz3t7g2/39491.pdf?rlkey=ikx2jdwrfz77xuyn9up709aw3&amp;dl=0" TargetMode="External"/><Relationship Id="rId455" Type="http://schemas.openxmlformats.org/officeDocument/2006/relationships/hyperlink" Target="https://www.dropbox.com/scl/fi/aricl9vkrx7rtfgb981jz/39842.pdf?rlkey=sr3l6j4vk6tr15fxz29ps814d&amp;dl=0" TargetMode="External"/><Relationship Id="rId662" Type="http://schemas.openxmlformats.org/officeDocument/2006/relationships/hyperlink" Target="https://www.dropbox.com/scl/fi/udwkpivpy4foyuupx403o/40310.pdf?rlkey=2zd9ohsexxm53vs6y7xx9mkw0&amp;dl=0" TargetMode="External"/><Relationship Id="rId12" Type="http://schemas.openxmlformats.org/officeDocument/2006/relationships/hyperlink" Target="https://www.dropbox.com/scl/fi/5mtrhefy9c3oh17rx17eb/40936.pdf?rlkey=o7xfj0p4wlcfxa5t9lhpqpugy&amp;dl=0" TargetMode="External"/><Relationship Id="rId108" Type="http://schemas.openxmlformats.org/officeDocument/2006/relationships/hyperlink" Target="https://www.dropbox.com/scl/fi/21ckcjzdpj4vk9tfhz78w/40812.pdf?rlkey=xzs7xmourv17ft6mn715kkm23&amp;dl=0" TargetMode="External"/><Relationship Id="rId315" Type="http://schemas.openxmlformats.org/officeDocument/2006/relationships/hyperlink" Target="https://www.dropbox.com/scl/fi/tjr5cd8bs6j8er2pnsw4c/39583.pdf?rlkey=iq5k1q533mjyvghrtsd8ta3vz&amp;dl=0" TargetMode="External"/><Relationship Id="rId522" Type="http://schemas.openxmlformats.org/officeDocument/2006/relationships/hyperlink" Target="https://www.dropbox.com/scl/fi/rmm16hwr0re72rwovl2hd/39979.pdf?rlkey=fuy3dxme8irnsdl5zfnnztm1u&amp;dl=0" TargetMode="External"/><Relationship Id="rId967" Type="http://schemas.openxmlformats.org/officeDocument/2006/relationships/hyperlink" Target="https://www.dropbox.com/scl/fi/o5pm61g45y4i4kw2uyfjz/41709.pdf?rlkey=y4fedolnl6s406emtmpsum82s&amp;dl=0" TargetMode="External"/><Relationship Id="rId96" Type="http://schemas.openxmlformats.org/officeDocument/2006/relationships/hyperlink" Target="https://www.dropbox.com/scl/fi/f9dn6mk42ele43zuohc3i/41228.pdf?rlkey=prgtkjk4rfnx4uv9snzknixej&amp;dl=0" TargetMode="External"/><Relationship Id="rId161" Type="http://schemas.openxmlformats.org/officeDocument/2006/relationships/hyperlink" Target="https://www.dropbox.com/scl/fi/vfk4vm3nt94sfhso4p6eh/41218.pdf?rlkey=tnoamhd3l58vm60yfokx0otfv&amp;dl=0" TargetMode="External"/><Relationship Id="rId399" Type="http://schemas.openxmlformats.org/officeDocument/2006/relationships/hyperlink" Target="https://www.dropbox.com/scl/fi/blw08w9p33s6a58awmz2s/39751.pdf?rlkey=l4hphokvmt4wd4rf4uglukmr2&amp;dl=0" TargetMode="External"/><Relationship Id="rId827" Type="http://schemas.openxmlformats.org/officeDocument/2006/relationships/hyperlink" Target="https://www.dropbox.com/scl/fi/i6vzfgjyongd7hrmyr5d0/41411.pdf?rlkey=ey1mfrobaub7safnax415f8cp&amp;dl=0" TargetMode="External"/><Relationship Id="rId259" Type="http://schemas.openxmlformats.org/officeDocument/2006/relationships/hyperlink" Target="https://www.dropbox.com/scl/fi/7acx60mbmfqzjmcl7lhzo/39505.pdf?rlkey=v3thabkbw3j1asa7vzo5ogmw8&amp;dl=0" TargetMode="External"/><Relationship Id="rId466" Type="http://schemas.openxmlformats.org/officeDocument/2006/relationships/hyperlink" Target="https://www.dropbox.com/scl/fi/cwd6skhmo70xgkfpnnchu/39866.pdf?rlkey=hl17xxf0ho0tt2mzm02magl47&amp;dl=0" TargetMode="External"/><Relationship Id="rId673" Type="http://schemas.openxmlformats.org/officeDocument/2006/relationships/hyperlink" Target="https://www.dropbox.com/scl/fi/8ztuu2x4htzyb2ehgsck5/40349.pdf?rlkey=gvyn15mvvm1o9k9jgxpi7acrw&amp;dl=0" TargetMode="External"/><Relationship Id="rId880" Type="http://schemas.openxmlformats.org/officeDocument/2006/relationships/hyperlink" Target="https://www.dropbox.com/scl/fi/g65k9jqkwns3jzn24ds1f/41548.pdf?rlkey=3usc9wvn18l2b183mwqz837b5&amp;dl=0" TargetMode="External"/><Relationship Id="rId23" Type="http://schemas.openxmlformats.org/officeDocument/2006/relationships/hyperlink" Target="https://www.dropbox.com/scl/fi/kbwe53fbp5580xw9zzack/41379.pdf?rlkey=w1fqk3c26lj5patalp4ngh53g&amp;dl=0" TargetMode="External"/><Relationship Id="rId119" Type="http://schemas.openxmlformats.org/officeDocument/2006/relationships/hyperlink" Target="https://www.dropbox.com/scl/fi/rxjljym93ulaa05m8dfmo/41020.pdf?rlkey=s74a8nw2b9tk8yl3my6g4094a&amp;dl=0" TargetMode="External"/><Relationship Id="rId326" Type="http://schemas.openxmlformats.org/officeDocument/2006/relationships/hyperlink" Target="https://www.dropbox.com/scl/fi/w6r6k8o0p41lhtei3d5a5/39604.pdf?rlkey=6ddpsy05nw5n6a6b94u10ll2k&amp;dl=0" TargetMode="External"/><Relationship Id="rId533" Type="http://schemas.openxmlformats.org/officeDocument/2006/relationships/hyperlink" Target="https://www.dropbox.com/scl/fi/taa1vghchdn4fzuaxtq00/40000.pdf?rlkey=xafwm2z2jvmop9odydj0xdquz&amp;dl=0" TargetMode="External"/><Relationship Id="rId740" Type="http://schemas.openxmlformats.org/officeDocument/2006/relationships/hyperlink" Target="https://www.dropbox.com/scl/fi/ww8hr4e4zxnu13swrw9x2/40538.pdf?rlkey=kecno2v0ntam74lscyyoddwcl&amp;dl=0" TargetMode="External"/><Relationship Id="rId838" Type="http://schemas.openxmlformats.org/officeDocument/2006/relationships/hyperlink" Target="https://www.dropbox.com/scl/fi/9eaa01k021jgqscqk7if1/41440.pdf?rlkey=aa3pc3nwm2a076cfexsvoiho7&amp;dl=0" TargetMode="External"/><Relationship Id="rId172" Type="http://schemas.openxmlformats.org/officeDocument/2006/relationships/hyperlink" Target="https://www.dropbox.com/scl/fi/uzhqhp392r7z4b814attl/41251.pdf?rlkey=5qvls4iwtp30hns5rw2yn9nja&amp;dl=0" TargetMode="External"/><Relationship Id="rId477" Type="http://schemas.openxmlformats.org/officeDocument/2006/relationships/hyperlink" Target="https://www.dropbox.com/scl/fi/bfswqbjumarimrmwjrrog/39882.pdf?rlkey=8ne22bbn8pv82s1o4hp5b0tvd&amp;dl=0" TargetMode="External"/><Relationship Id="rId600" Type="http://schemas.openxmlformats.org/officeDocument/2006/relationships/hyperlink" Target="https://www.dropbox.com/scl/fi/5usvp81u4jeg5cselxzg9/40138.pdf?rlkey=k6nvb1xfxx7ce1czlcvcnh8kc&amp;dl=0" TargetMode="External"/><Relationship Id="rId684" Type="http://schemas.openxmlformats.org/officeDocument/2006/relationships/hyperlink" Target="https://www.dropbox.com/scl/fi/4ff75rcbwz3dg4rchm79v/40374.pdf?rlkey=gbwhxb2x3n8g0ki9q4bcn6hu5&amp;dl=0" TargetMode="External"/><Relationship Id="rId337" Type="http://schemas.openxmlformats.org/officeDocument/2006/relationships/hyperlink" Target="https://www.dropbox.com/scl/fi/hj2fiba9nxmcfkufjmsur/39640.pdf?rlkey=0p9t5hdrr5m3eeite0a2q4voo&amp;dl=0" TargetMode="External"/><Relationship Id="rId891" Type="http://schemas.openxmlformats.org/officeDocument/2006/relationships/hyperlink" Target="https://www.dropbox.com/scl/fi/02nqcmmca4byeecuhzxtf/41567.pdf?rlkey=a2qd8whj43u8wibjm8frgo9jj&amp;dl=0" TargetMode="External"/><Relationship Id="rId905" Type="http://schemas.openxmlformats.org/officeDocument/2006/relationships/hyperlink" Target="https://www.dropbox.com/scl/fi/kx44nlpjygj6thwn5p0p9/41598.pdf?rlkey=n7ijh752mrk8uktp96t5teluk&amp;dl=0" TargetMode="External"/><Relationship Id="rId34" Type="http://schemas.openxmlformats.org/officeDocument/2006/relationships/hyperlink" Target="https://www.dropbox.com/scl/fi/ydxtgb6w6y7ynnq2bgs18/41065.pdf?rlkey=0hahee95s8i1f63qr1f9vtpdr&amp;dl=0" TargetMode="External"/><Relationship Id="rId544" Type="http://schemas.openxmlformats.org/officeDocument/2006/relationships/hyperlink" Target="https://www.dropbox.com/scl/fi/5aazll6jf88w9agmov9yo/40020.pdf?rlkey=aon3bhb3hbuzgssp640lcmij2&amp;dl=0" TargetMode="External"/><Relationship Id="rId751" Type="http://schemas.openxmlformats.org/officeDocument/2006/relationships/hyperlink" Target="https://www.dropbox.com/scl/fi/g91z2q2o57js1vejh706w/40750.pdf?rlkey=jlfb6w485jpj8q298mspuq4o7&amp;dl=0" TargetMode="External"/><Relationship Id="rId849" Type="http://schemas.openxmlformats.org/officeDocument/2006/relationships/hyperlink" Target="https://www.dropbox.com/scl/fi/y1qtmvg3cwcbu5hmq424n/41478.pdf?rlkey=vcq85kwu6zeaqbx2n6h6a71lr&amp;dl=0" TargetMode="External"/><Relationship Id="rId183" Type="http://schemas.openxmlformats.org/officeDocument/2006/relationships/hyperlink" Target="https://www.dropbox.com/scl/fi/q6pwff8iwfgvhl7wzufqe/41301.pdf?rlkey=1u9gxpgguewqewt1z0c83u3b3&amp;dl=0" TargetMode="External"/><Relationship Id="rId390" Type="http://schemas.openxmlformats.org/officeDocument/2006/relationships/hyperlink" Target="https://www.dropbox.com/scl/fi/5u7j9603s95mrn3bkau0g/39718.pdf?rlkey=2zkdd7cn4omajm06whzmuoc0n&amp;dl=0" TargetMode="External"/><Relationship Id="rId404" Type="http://schemas.openxmlformats.org/officeDocument/2006/relationships/hyperlink" Target="https://www.dropbox.com/scl/fi/yii2davhgn6cf64fs1uta/39761.pdf?rlkey=4u52u7w2jhiookagdp9u81mnx&amp;dl=0" TargetMode="External"/><Relationship Id="rId611" Type="http://schemas.openxmlformats.org/officeDocument/2006/relationships/hyperlink" Target="https://www.dropbox.com/scl/fi/wurch7fkejftgufrropkd/40153.pdf?rlkey=j6rq7aj9ljx4yj3fxcmo7w9he&amp;dl=0" TargetMode="External"/><Relationship Id="rId250" Type="http://schemas.openxmlformats.org/officeDocument/2006/relationships/hyperlink" Target="https://www.dropbox.com/scl/fi/ikf8ahb44o4cv9hod95ve/39493.pdf?rlkey=rsyaf53abaai8iu1ifh1gdgxp&amp;dl=0" TargetMode="External"/><Relationship Id="rId488" Type="http://schemas.openxmlformats.org/officeDocument/2006/relationships/hyperlink" Target="https://www.dropbox.com/scl/fi/v8gh6j4xddnwujj9ir8zw/39903.pdf?rlkey=fkl0kybe7xks84ev5aud89z20&amp;dl=0" TargetMode="External"/><Relationship Id="rId695" Type="http://schemas.openxmlformats.org/officeDocument/2006/relationships/hyperlink" Target="https://www.dropbox.com/scl/fi/1kv81ohchjpuff1j7250r/40394.pdf?rlkey=9pfhldjc76t9thw6p70v6p2dm&amp;dl=0" TargetMode="External"/><Relationship Id="rId709" Type="http://schemas.openxmlformats.org/officeDocument/2006/relationships/hyperlink" Target="https://www.dropbox.com/scl/fi/5ui76zig94vy1hf5o8t5y/40413.pdf?rlkey=s5m3asl3uec4mgel2b1bziu22&amp;dl=0" TargetMode="External"/><Relationship Id="rId916" Type="http://schemas.openxmlformats.org/officeDocument/2006/relationships/hyperlink" Target="https://www.dropbox.com/scl/fi/xxxxiuvh612jr8w7d1mrw/41609.pdf?rlkey=w9eyinjd45a52j2dbx2f6609b&amp;dl=0" TargetMode="External"/><Relationship Id="rId45" Type="http://schemas.openxmlformats.org/officeDocument/2006/relationships/hyperlink" Target="https://www.dropbox.com/scl/fi/b227p87makqfjykf4fn40/41087.pdf?rlkey=4tjh9qcjor0gww4s05t3ieked&amp;dl=0" TargetMode="External"/><Relationship Id="rId110" Type="http://schemas.openxmlformats.org/officeDocument/2006/relationships/hyperlink" Target="https://www.dropbox.com/scl/fi/2y2md5ol2zb0hdjay3i8t/40814.pdf?rlkey=5cl7m59p25kl40tewquwsp16c&amp;dl=0" TargetMode="External"/><Relationship Id="rId348" Type="http://schemas.openxmlformats.org/officeDocument/2006/relationships/hyperlink" Target="https://www.dropbox.com/scl/fi/9ta41lkwzx6xpte3f0g8c/39655.pdf?rlkey=l2bbl8u255kdq38m7cmfpiovp&amp;dl=0" TargetMode="External"/><Relationship Id="rId555" Type="http://schemas.openxmlformats.org/officeDocument/2006/relationships/hyperlink" Target="https://www.dropbox.com/scl/fi/t5rotkxw4hevwslb591qo/40046.pdf?rlkey=2bsuo63w3l9qlls2f75x92onj&amp;dl=0" TargetMode="External"/><Relationship Id="rId762" Type="http://schemas.openxmlformats.org/officeDocument/2006/relationships/hyperlink" Target="https://www.dropbox.com/scl/fi/gzk13gzc2z5f9g4hlssf0/40805.pdf?rlkey=y19zirb89ajwktm9an06delu2&amp;dl=0" TargetMode="External"/><Relationship Id="rId194" Type="http://schemas.openxmlformats.org/officeDocument/2006/relationships/hyperlink" Target="https://www.dropbox.com/scl/fi/6j7jyw1mudqmwur454088/41367.pdf?rlkey=bdqsqrwbhi78sitk4g5ianswa&amp;dl=0" TargetMode="External"/><Relationship Id="rId208" Type="http://schemas.openxmlformats.org/officeDocument/2006/relationships/hyperlink" Target="https://www.dropbox.com/scl/fi/fdvfwy0p8be28s7sez3du/39426.pdf?rlkey=76oo86pwx7lolciqsnk3svug1&amp;dl=0" TargetMode="External"/><Relationship Id="rId415" Type="http://schemas.openxmlformats.org/officeDocument/2006/relationships/hyperlink" Target="https://www.dropbox.com/scl/fi/6kcgsqsssq8qleb1w1k4k/39777.pdf?rlkey=kl1qe8fnxsfnjjpkdzqat7p5o&amp;dl=0" TargetMode="External"/><Relationship Id="rId622" Type="http://schemas.openxmlformats.org/officeDocument/2006/relationships/hyperlink" Target="https://www.dropbox.com/scl/fi/wzxa93r3qqguaiijyf89d/40170.pdf?rlkey=4xvnntnvvw3xrzdzz0bzmxh8u&amp;dl=0" TargetMode="External"/><Relationship Id="rId261" Type="http://schemas.openxmlformats.org/officeDocument/2006/relationships/hyperlink" Target="https://www.dropbox.com/scl/fi/wz9a6cpa28iqywysn6iub/39507.pdf?rlkey=ym4y1djijhyg0htcgflbuqrqg&amp;dl=0" TargetMode="External"/><Relationship Id="rId499" Type="http://schemas.openxmlformats.org/officeDocument/2006/relationships/hyperlink" Target="https://www.dropbox.com/scl/fi/5epv9w3jtatnw661rw916/39933.pdf?rlkey=3j9rubihwbpjaq50tvf1bwr1d&amp;dl=0" TargetMode="External"/><Relationship Id="rId927" Type="http://schemas.openxmlformats.org/officeDocument/2006/relationships/hyperlink" Target="https://www.dropbox.com/scl/fi/31gr9vo3x241ptedbh21c/41641.pdf?rlkey=ndha0e5jxrfn94lb11vj17i5q&amp;dl=0" TargetMode="External"/><Relationship Id="rId56" Type="http://schemas.openxmlformats.org/officeDocument/2006/relationships/hyperlink" Target="https://www.dropbox.com/scl/fi/sqqrkhhao20qjwttls5t7/41229.pdf?rlkey=nfk1ral1ckfigudg33e19104q&amp;dl=0" TargetMode="External"/><Relationship Id="rId359" Type="http://schemas.openxmlformats.org/officeDocument/2006/relationships/hyperlink" Target="https://www.dropbox.com/scl/fi/8tzuyo87px70z764pwd7m/39678.pdf?rlkey=up6y9q3gzsjgt6qfsajzkfxgo&amp;dl=0" TargetMode="External"/><Relationship Id="rId566" Type="http://schemas.openxmlformats.org/officeDocument/2006/relationships/hyperlink" Target="https://www.dropbox.com/scl/fi/q3sckqne4s827pptjw8p9/40078.pdf?rlkey=zs7dazacfmz1h8y2us1dl4r88&amp;dl=0" TargetMode="External"/><Relationship Id="rId773" Type="http://schemas.openxmlformats.org/officeDocument/2006/relationships/hyperlink" Target="https://www.dropbox.com/scl/fi/c7yrsguqlwg07q9vdrbbe/40866.pdf?rlkey=0chitb9w3swhuqzamatwbzcrf&amp;dl=0" TargetMode="External"/><Relationship Id="rId121" Type="http://schemas.openxmlformats.org/officeDocument/2006/relationships/hyperlink" Target="https://www.dropbox.com/scl/fi/5tmtbg3q8a4d9asiq583o/41023.pdf?rlkey=zkx937g2jnwhevjux0o9h7wwi&amp;dl=0" TargetMode="External"/><Relationship Id="rId219" Type="http://schemas.openxmlformats.org/officeDocument/2006/relationships/hyperlink" Target="https://www.dropbox.com/scl/fi/vxsv55or1vfyezqfiwkwp/39447.pdf?rlkey=jezkib0ntcqiosbvj67y14shu&amp;dl=0" TargetMode="External"/><Relationship Id="rId426" Type="http://schemas.openxmlformats.org/officeDocument/2006/relationships/hyperlink" Target="https://www.dropbox.com/scl/fi/1c6rt26t9y8g2t1zk34tt/39794.pdf?rlkey=wml2s4ru1wr55cov8dlhkll9p&amp;dl=0" TargetMode="External"/><Relationship Id="rId633" Type="http://schemas.openxmlformats.org/officeDocument/2006/relationships/hyperlink" Target="https://www.dropbox.com/scl/fi/p6llm34iy7zn2c2b9ok92/40245.pdf?rlkey=jcjds18t21q8bgkregerlonep&amp;dl=0" TargetMode="External"/><Relationship Id="rId840" Type="http://schemas.openxmlformats.org/officeDocument/2006/relationships/hyperlink" Target="https://www.dropbox.com/scl/fi/b2qrk8muk2h6bbwmw5sns/41445.pdf?rlkey=v23x5iv4mo790fhwml7t220vv&amp;dl=0" TargetMode="External"/><Relationship Id="rId938" Type="http://schemas.openxmlformats.org/officeDocument/2006/relationships/hyperlink" Target="https://www.dropbox.com/scl/fi/7mgz3fv4mk0y8hur1ri9l/41665.pdf?rlkey=ojp81ezfofkyev7lxxzt1ntkl&amp;dl=0" TargetMode="External"/><Relationship Id="rId67" Type="http://schemas.openxmlformats.org/officeDocument/2006/relationships/hyperlink" Target="https://www.dropbox.com/scl/fi/4l6lpja35t5l6bvctorma/41110.pdf?rlkey=apom3d5pptzhzj30b2tnavrnl&amp;dl=0" TargetMode="External"/><Relationship Id="rId272" Type="http://schemas.openxmlformats.org/officeDocument/2006/relationships/hyperlink" Target="https://www.dropbox.com/scl/fi/rbtd3czq427o82zi9q6an/39520.pdf?rlkey=khavebhg8iwalh6sk92uc472m&amp;dl=0" TargetMode="External"/><Relationship Id="rId577" Type="http://schemas.openxmlformats.org/officeDocument/2006/relationships/hyperlink" Target="https://www.dropbox.com/scl/fi/g09wq9f6931d2q06lu5jl/40092.pdf?rlkey=fkhcdg9t8fablmfkx3cx6ply6&amp;dl=0" TargetMode="External"/><Relationship Id="rId700" Type="http://schemas.openxmlformats.org/officeDocument/2006/relationships/hyperlink" Target="https://www.dropbox.com/scl/fi/ndpwlgfnwdkwx51b7lsea/40404.pdf?rlkey=btuhb0vg9024jtxdqgvwybdc8&amp;dl=0" TargetMode="External"/><Relationship Id="rId132" Type="http://schemas.openxmlformats.org/officeDocument/2006/relationships/hyperlink" Target="https://www.dropbox.com/scl/fi/0uhpaf8h61tkffcwo4cu0/41089.pdf?rlkey=ul5zjgnmckic9axp923djkc3o&amp;dl=0" TargetMode="External"/><Relationship Id="rId784" Type="http://schemas.openxmlformats.org/officeDocument/2006/relationships/hyperlink" Target="https://www.dropbox.com/scl/fi/41rzm6kpup0694m1dqv7o/40902.pdf?rlkey=qbh50px9lla04xouerf9zxdle&amp;dl=0" TargetMode="External"/><Relationship Id="rId437" Type="http://schemas.openxmlformats.org/officeDocument/2006/relationships/hyperlink" Target="https://www.dropbox.com/scl/fi/nmvnuvvvpas81v359fb8o/39817.pdf?rlkey=67kxzb247yeikkrpt2zhyucpg&amp;dl=0" TargetMode="External"/><Relationship Id="rId644" Type="http://schemas.openxmlformats.org/officeDocument/2006/relationships/hyperlink" Target="https://www.dropbox.com/scl/fi/v7wgwede8azwkv5pbb0xl/40256.pdf?rlkey=cgt7strq5y8sue4o0ef5xb1rj&amp;dl=0" TargetMode="External"/><Relationship Id="rId851" Type="http://schemas.openxmlformats.org/officeDocument/2006/relationships/hyperlink" Target="https://www.dropbox.com/scl/fi/gauqi1vb0hn740c40bqsv/41490.pdf?rlkey=ixu133shyonj0dcot0arkck91&amp;dl=0" TargetMode="External"/><Relationship Id="rId283" Type="http://schemas.openxmlformats.org/officeDocument/2006/relationships/hyperlink" Target="https://www.dropbox.com/scl/fi/ekerbwj78nobjp08p3sa7/39544.pdf?rlkey=kuk8ujf1gh8wz7iageuq4plzn&amp;dl=0" TargetMode="External"/><Relationship Id="rId490" Type="http://schemas.openxmlformats.org/officeDocument/2006/relationships/hyperlink" Target="https://www.dropbox.com/scl/fi/k8pk0dhzs1x9m998ktx4w/39911.pdf?rlkey=02o38xgkiimucj99kf7ojicnm&amp;dl=0" TargetMode="External"/><Relationship Id="rId504" Type="http://schemas.openxmlformats.org/officeDocument/2006/relationships/hyperlink" Target="https://www.dropbox.com/scl/fi/hn0bc7e7y1p1trrhvj09i/39938.pdf?rlkey=0zf4gj19nn8trnvrmcumvuvsg&amp;dl=0" TargetMode="External"/><Relationship Id="rId711" Type="http://schemas.openxmlformats.org/officeDocument/2006/relationships/hyperlink" Target="https://www.dropbox.com/scl/fi/e7rayvrss7kr4hl65abgt/40429.pdf?rlkey=id0iaz8vebhok7s6zblpatgv7&amp;dl=0" TargetMode="External"/><Relationship Id="rId949" Type="http://schemas.openxmlformats.org/officeDocument/2006/relationships/hyperlink" Target="https://www.dropbox.com/scl/fi/kuxxltyntqkupzfu0g6hi/41684.pdf?rlkey=v66jsxb742t5lt9upddypoda7&amp;dl=0" TargetMode="External"/><Relationship Id="rId78" Type="http://schemas.openxmlformats.org/officeDocument/2006/relationships/hyperlink" Target="https://www.dropbox.com/scl/fi/4rl7h46etnkwq2nalkmtw/41216.pdf?rlkey=z2rhx9tqlo3vwyojj3cittjtr&amp;dl=0" TargetMode="External"/><Relationship Id="rId143" Type="http://schemas.openxmlformats.org/officeDocument/2006/relationships/hyperlink" Target="https://www.dropbox.com/scl/fi/lzwmld02thv5vqaf7w3bf/41159.pdf?rlkey=08mhpnmrs4oubqb7jv5ihwy19&amp;dl=0" TargetMode="External"/><Relationship Id="rId350" Type="http://schemas.openxmlformats.org/officeDocument/2006/relationships/hyperlink" Target="https://www.dropbox.com/scl/fi/4zfe5ejs2amt4cf7spc82/39660.pdf?rlkey=vcn04ru1kj78o9ik7rfkjz7a4&amp;dl=0" TargetMode="External"/><Relationship Id="rId588" Type="http://schemas.openxmlformats.org/officeDocument/2006/relationships/hyperlink" Target="https://www.dropbox.com/scl/fi/np1u7z6bygf4ruquvqyqj/40108.pdf?rlkey=diu4zvnujmg0foc8qal4l9oiw&amp;dl=0" TargetMode="External"/><Relationship Id="rId795" Type="http://schemas.openxmlformats.org/officeDocument/2006/relationships/hyperlink" Target="https://www.dropbox.com/scl/fi/s55agtnoqmn3as46183rm/40920.pdf?rlkey=wow84zqe8r891cabjycbukkrh&amp;dl=0" TargetMode="External"/><Relationship Id="rId809" Type="http://schemas.openxmlformats.org/officeDocument/2006/relationships/hyperlink" Target="https://www.dropbox.com/scl/fi/yiwsr67yv2d9sfml1q73r/40966.pdf?rlkey=3yugtf9f178u1ynx1c0m4qp42&amp;dl=0" TargetMode="External"/><Relationship Id="rId9" Type="http://schemas.openxmlformats.org/officeDocument/2006/relationships/hyperlink" Target="https://www.dropbox.com/scl/fi/cb53oz3pxbdq4qpmsor73/40941.pdf?rlkey=2cv7lur3not9nbuf7gpbzjdge&amp;dl=0" TargetMode="External"/><Relationship Id="rId210" Type="http://schemas.openxmlformats.org/officeDocument/2006/relationships/hyperlink" Target="https://www.dropbox.com/scl/fi/tzt6yvuz7hbueljta68e0/39428.pdf?rlkey=2sagshtnp4skln0bd55pyc2zx&amp;dl=0" TargetMode="External"/><Relationship Id="rId448" Type="http://schemas.openxmlformats.org/officeDocument/2006/relationships/hyperlink" Target="https://www.dropbox.com/scl/fi/59b2104l4796dt8uba6kk/39829.pdf?rlkey=1wg6mgq5epnh8dp8sqans2b1t&amp;dl=0" TargetMode="External"/><Relationship Id="rId655" Type="http://schemas.openxmlformats.org/officeDocument/2006/relationships/hyperlink" Target="https://www.dropbox.com/scl/fi/bfvw585yha8gobjx0f2bf/40271.pdf?rlkey=kxpvz2ijpyoos85m4qv7cz5z0&amp;dl=0" TargetMode="External"/><Relationship Id="rId862" Type="http://schemas.openxmlformats.org/officeDocument/2006/relationships/hyperlink" Target="https://www.dropbox.com/scl/fi/w4mpzbp488l5udos5w7uf/41517.pdf?rlkey=7xbhl59ttal9u5tcu7rgrom5s&amp;dl=0" TargetMode="External"/><Relationship Id="rId294" Type="http://schemas.openxmlformats.org/officeDocument/2006/relationships/hyperlink" Target="https://www.dropbox.com/scl/fi/mk5b9bf6oiwlzmzbvkibq/39555.pdf?rlkey=ub0lzrrrsoc54rsvstu4bffe9&amp;dl=0" TargetMode="External"/><Relationship Id="rId308" Type="http://schemas.openxmlformats.org/officeDocument/2006/relationships/hyperlink" Target="https://www.dropbox.com/scl/fi/tjoeg00d7r5oc5imwadl1/39574.pdf?rlkey=y7kce8fkvotkgctdk9p2rn5jc&amp;dl=0" TargetMode="External"/><Relationship Id="rId515" Type="http://schemas.openxmlformats.org/officeDocument/2006/relationships/hyperlink" Target="https://www.dropbox.com/scl/fi/vcys3cxi3c3ghd63qwd9y/39969.pdf?rlkey=fliuzg51xuzyhyx7v5518p21g&amp;dl=0" TargetMode="External"/><Relationship Id="rId722" Type="http://schemas.openxmlformats.org/officeDocument/2006/relationships/hyperlink" Target="https://www.dropbox.com/scl/fi/06cgxen3vmfwpuhecevbu/40469.pdf?rlkey=33zdb6bih2pm09tskhf3hoq47&amp;dl=0" TargetMode="External"/><Relationship Id="rId89" Type="http://schemas.openxmlformats.org/officeDocument/2006/relationships/hyperlink" Target="https://www.dropbox.com/scl/fi/6vxs6xhmnfxf7vv1gv982/41246.pdf?rlkey=746bxroh1kdidiq5z0xmyvqmp&amp;dl=0" TargetMode="External"/><Relationship Id="rId154" Type="http://schemas.openxmlformats.org/officeDocument/2006/relationships/hyperlink" Target="https://www.dropbox.com/scl/fi/p5j2d802drpxg3v64t39r/41189.pdf?rlkey=z4vpaq2nvfyp311osyqf699yc&amp;dl=0" TargetMode="External"/><Relationship Id="rId361" Type="http://schemas.openxmlformats.org/officeDocument/2006/relationships/hyperlink" Target="https://www.dropbox.com/scl/fi/y7sefgrc15ttlfmcgn0jv/39680.pdf?rlkey=fkz2rdr8xuxk492ok62b8v7bh&amp;dl=0" TargetMode="External"/><Relationship Id="rId599" Type="http://schemas.openxmlformats.org/officeDocument/2006/relationships/hyperlink" Target="https://www.dropbox.com/scl/fi/km0frwi021i5fxvd38fzu/40137.pdf?rlkey=sojprgla07u00lsqp7mfmkv7o&amp;dl=0" TargetMode="External"/><Relationship Id="rId459" Type="http://schemas.openxmlformats.org/officeDocument/2006/relationships/hyperlink" Target="https://www.dropbox.com/scl/fi/klv1djyyy6btlqfjgliz2/39846.pdf?rlkey=co50ga4a247jov7lndg8yqgp4&amp;dl=0" TargetMode="External"/><Relationship Id="rId666" Type="http://schemas.openxmlformats.org/officeDocument/2006/relationships/hyperlink" Target="https://www.dropbox.com/scl/fi/3bmxllww6q2zzy8mo9783/40330.pdf?rlkey=pxjpalr25pxtamkzb0fwlqp3n&amp;dl=0" TargetMode="External"/><Relationship Id="rId873" Type="http://schemas.openxmlformats.org/officeDocument/2006/relationships/hyperlink" Target="https://www.dropbox.com/scl/fi/72jueeawjp9l1dhm1d7rs/41539.pdf?rlkey=40dp3lraaq05g1an28r5junoc&amp;dl=0" TargetMode="External"/><Relationship Id="rId16" Type="http://schemas.openxmlformats.org/officeDocument/2006/relationships/hyperlink" Target="https://www.dropbox.com/scl/fi/xen0udz3u0jcvpjysv67o/41210.pdf?rlkey=7dih0ot5wg89k8m7bslq8kjqd&amp;dl=0" TargetMode="External"/><Relationship Id="rId221" Type="http://schemas.openxmlformats.org/officeDocument/2006/relationships/hyperlink" Target="https://www.dropbox.com/scl/fi/3o8xxmkdowzw57pvb491t/39449.pdf?rlkey=jmvemce6t1dph3vfi93nimab4&amp;dl=0" TargetMode="External"/><Relationship Id="rId319" Type="http://schemas.openxmlformats.org/officeDocument/2006/relationships/hyperlink" Target="https://www.dropbox.com/scl/fi/ons1j3jmx0nst17lbdmaz/39589.pdf?rlkey=tj4fes1ubxdbnxa1qz0tbjr23&amp;dl=0" TargetMode="External"/><Relationship Id="rId526" Type="http://schemas.openxmlformats.org/officeDocument/2006/relationships/hyperlink" Target="https://www.dropbox.com/scl/fi/kql2yfvs9c4qjszvo81pa/39983.pdf?rlkey=4zanlim6t9cv7yldacysytnws&amp;dl=0" TargetMode="External"/><Relationship Id="rId733" Type="http://schemas.openxmlformats.org/officeDocument/2006/relationships/hyperlink" Target="https://www.dropbox.com/scl/fi/0szeh03v1qygi29n1nu0h/40526.pdf?rlkey=0ztrtylltc4nja27yu42zjgbt&amp;dl=0" TargetMode="External"/><Relationship Id="rId940" Type="http://schemas.openxmlformats.org/officeDocument/2006/relationships/hyperlink" Target="https://www.dropbox.com/scl/fi/sr1119981wjk1f3rmhlh7/41671.pdf?rlkey=kifssee5p8nnz0oyfozy5zo7g&amp;dl=0" TargetMode="External"/><Relationship Id="rId165" Type="http://schemas.openxmlformats.org/officeDocument/2006/relationships/hyperlink" Target="https://www.dropbox.com/scl/fi/kgmxswrft8385bu2p8p3k/41222.pdf?rlkey=jfzsbw0rj6g4st3toqyvrs98d&amp;dl=0" TargetMode="External"/><Relationship Id="rId372" Type="http://schemas.openxmlformats.org/officeDocument/2006/relationships/hyperlink" Target="https://www.dropbox.com/scl/fi/26kbemsxf701g1t7djea3/39692.pdf?rlkey=749w5aqbwbxz2hq1hf42j1ykl&amp;dl=0" TargetMode="External"/><Relationship Id="rId677" Type="http://schemas.openxmlformats.org/officeDocument/2006/relationships/hyperlink" Target="https://www.dropbox.com/scl/fi/ql4xs6s7zhvya63rgjfib/40356.pdf?rlkey=f7rjos1n1wlrns58jn71pnbwe&amp;dl=0" TargetMode="External"/><Relationship Id="rId800" Type="http://schemas.openxmlformats.org/officeDocument/2006/relationships/hyperlink" Target="https://www.dropbox.com/scl/fi/ad2cn889ib65gv1a5ussp/40926.pdf?rlkey=5aysffhxcwacek36cjp3w6fy6&amp;dl=0" TargetMode="External"/><Relationship Id="rId232" Type="http://schemas.openxmlformats.org/officeDocument/2006/relationships/hyperlink" Target="https://www.dropbox.com/scl/fi/c40bzuqb0yit7yi7qf2gl/39463.pdf?rlkey=yy879kptzzxmc2vrlhh600idk&amp;dl=0" TargetMode="External"/><Relationship Id="rId884" Type="http://schemas.openxmlformats.org/officeDocument/2006/relationships/hyperlink" Target="https://www.dropbox.com/scl/fi/ga8eshzgf1sgdujnxgcbn/41554.pdf?rlkey=cxz9qkf5n9u5a6nyzf5yftq1h&amp;dl=0" TargetMode="External"/><Relationship Id="rId27" Type="http://schemas.openxmlformats.org/officeDocument/2006/relationships/hyperlink" Target="https://www.dropbox.com/scl/fi/9hco6vl84gxlnli8wpk8v/41247.pdf?rlkey=k95igvit2tnkalawx4rbl3sac&amp;dl=0" TargetMode="External"/><Relationship Id="rId537" Type="http://schemas.openxmlformats.org/officeDocument/2006/relationships/hyperlink" Target="https://www.dropbox.com/scl/fi/3dkl7va1vpan017pbm0q2/40012.pdf?rlkey=z5ikjhw9zm7410smaexmlmzee&amp;dl=0" TargetMode="External"/><Relationship Id="rId744" Type="http://schemas.openxmlformats.org/officeDocument/2006/relationships/hyperlink" Target="https://www.dropbox.com/scl/fi/jg1ur7n0f0hf35b6k58ju/40720.pdf?rlkey=sxhqypj99ff4nexrwi4u2c229&amp;dl=0" TargetMode="External"/><Relationship Id="rId951" Type="http://schemas.openxmlformats.org/officeDocument/2006/relationships/hyperlink" Target="https://www.dropbox.com/scl/fi/8d18qv81ygk54cpwbasu2/41686.pdf?rlkey=a8hruoa3scuv5am46rxtrjxft&amp;dl=0" TargetMode="External"/><Relationship Id="rId80" Type="http://schemas.openxmlformats.org/officeDocument/2006/relationships/hyperlink" Target="https://www.dropbox.com/scl/fi/dlyz5yncim1ic8t74p44m/41320.pdf?rlkey=fs8muwzv9bbhyxfluqbfxvodc&amp;dl=0" TargetMode="External"/><Relationship Id="rId176" Type="http://schemas.openxmlformats.org/officeDocument/2006/relationships/hyperlink" Target="https://www.dropbox.com/scl/fi/p6xvflo9tshr8hm0goac0/41294.pdf?rlkey=48zy1l1u4sg1t6agslsbt46m9&amp;dl=0" TargetMode="External"/><Relationship Id="rId383" Type="http://schemas.openxmlformats.org/officeDocument/2006/relationships/hyperlink" Target="https://www.dropbox.com/scl/fi/5ikmk8swopixpmsocs9rd/39709.pdf?rlkey=ht0oo5rt47nhwhpx22jz59p50&amp;dl=0" TargetMode="External"/><Relationship Id="rId590" Type="http://schemas.openxmlformats.org/officeDocument/2006/relationships/hyperlink" Target="https://www.dropbox.com/scl/fi/7c75af85wpo3opodpacwd/40114.pdf?rlkey=hrdwly5t3wl83b7m2c3o1i306&amp;dl=0" TargetMode="External"/><Relationship Id="rId604" Type="http://schemas.openxmlformats.org/officeDocument/2006/relationships/hyperlink" Target="https://www.dropbox.com/scl/fi/wrrjn73qajqho60tk1ihq/40143.pdf?rlkey=069kefe6cuw0801ne0n8o2xzt&amp;dl=0" TargetMode="External"/><Relationship Id="rId811" Type="http://schemas.openxmlformats.org/officeDocument/2006/relationships/hyperlink" Target="https://www.dropbox.com/scl/fi/k4erk0l5s9dejnazahft4/40971.pdf?rlkey=qkmclenaq1xxi18vd9qzv68hn&amp;dl=0" TargetMode="External"/><Relationship Id="rId243" Type="http://schemas.openxmlformats.org/officeDocument/2006/relationships/hyperlink" Target="https://www.dropbox.com/scl/fi/stb51nng4kb2g29tkp264/39486.pdf?rlkey=1fizgtqq2clcl99otp4s64673&amp;dl=0" TargetMode="External"/><Relationship Id="rId450" Type="http://schemas.openxmlformats.org/officeDocument/2006/relationships/hyperlink" Target="https://www.dropbox.com/scl/fi/53bnk7pjuxh6fglmjavmd/39835.pdf?rlkey=p9lel70encsgrvdd6eup20904&amp;dl=0" TargetMode="External"/><Relationship Id="rId688" Type="http://schemas.openxmlformats.org/officeDocument/2006/relationships/hyperlink" Target="https://www.dropbox.com/scl/fi/ebjchvme2ed5qzga8d4qj/40384.pdf?rlkey=e9neujkj31tjrjxylstpppuqd&amp;dl=0" TargetMode="External"/><Relationship Id="rId895" Type="http://schemas.openxmlformats.org/officeDocument/2006/relationships/hyperlink" Target="https://www.dropbox.com/scl/fi/uy9s8j4gs04odu8yqvicg/41571.pdf?rlkey=vzdwbrfvtvi5nwqwz2365d043&amp;dl=0" TargetMode="External"/><Relationship Id="rId909" Type="http://schemas.openxmlformats.org/officeDocument/2006/relationships/hyperlink" Target="https://www.dropbox.com/scl/fi/g6ph654diltv6e7kslnrq/41602.pdf?rlkey=rw3kqc2oqs8aupxi3igeayb6w&amp;dl=0" TargetMode="External"/><Relationship Id="rId38" Type="http://schemas.openxmlformats.org/officeDocument/2006/relationships/hyperlink" Target="https://www.dropbox.com/scl/fi/3kwhja24b13kmv8u4ns4y/41067.pdf?rlkey=cqw2sa793ipmx6gtz4hw6x1hp&amp;dl=0" TargetMode="External"/><Relationship Id="rId103" Type="http://schemas.openxmlformats.org/officeDocument/2006/relationships/hyperlink" Target="https://www.dropbox.com/scl/fi/mha7qbo50i0yn8xclelcl/41128.pdf?rlkey=d0nbnldttovam3atjrb7yw1uw&amp;dl=0" TargetMode="External"/><Relationship Id="rId310" Type="http://schemas.openxmlformats.org/officeDocument/2006/relationships/hyperlink" Target="https://www.dropbox.com/scl/fi/cf3sxrrgh34r7qy94y4rc/39578.pdf?rlkey=ngcv9rre1b6tumvuoo2m9v1m2&amp;dl=0" TargetMode="External"/><Relationship Id="rId548" Type="http://schemas.openxmlformats.org/officeDocument/2006/relationships/hyperlink" Target="https://www.dropbox.com/scl/fi/nwe0zprvurxm6m6oy89u5/40029.pdf?rlkey=1zuk877vpj5iw0fi7jq89ks75&amp;dl=0" TargetMode="External"/><Relationship Id="rId755" Type="http://schemas.openxmlformats.org/officeDocument/2006/relationships/hyperlink" Target="https://www.dropbox.com/scl/fi/qyavm4gxe7ms3gh1j9hn6/40767.pdf?rlkey=j4xuua8gk9r1ywc8pwp7zygth&amp;dl=0" TargetMode="External"/><Relationship Id="rId962" Type="http://schemas.openxmlformats.org/officeDocument/2006/relationships/hyperlink" Target="https://www.dropbox.com/scl/fi/1lxto675nyvq3foogb8cz/41701.pdf?rlkey=3s4ta665j1qmy3y237voq57ze&amp;dl=0" TargetMode="External"/><Relationship Id="rId91" Type="http://schemas.openxmlformats.org/officeDocument/2006/relationships/hyperlink" Target="https://www.dropbox.com/scl/fi/dqsn3qr8v17nsmwvzmx11/41321.pdf?rlkey=h4y28m74zmzc1wlukqbdv8ay9&amp;dl=0" TargetMode="External"/><Relationship Id="rId187" Type="http://schemas.openxmlformats.org/officeDocument/2006/relationships/hyperlink" Target="https://www.dropbox.com/scl/fi/4s8wn1fitiq6kxv0475ei/41334.pdf?rlkey=wubaabeabj3kbk3usfj93aqci&amp;dl=0" TargetMode="External"/><Relationship Id="rId394" Type="http://schemas.openxmlformats.org/officeDocument/2006/relationships/hyperlink" Target="https://www.dropbox.com/scl/fi/43t8ikfuqyl7s7jqs8ifp/39731.pdf?rlkey=gayzkkd3azs8z5g775q6a3ktz&amp;dl=0" TargetMode="External"/><Relationship Id="rId408" Type="http://schemas.openxmlformats.org/officeDocument/2006/relationships/hyperlink" Target="https://www.dropbox.com/scl/fi/ty2zp7zbx88vksx4k5ezn/39765.pdf?rlkey=lufkw9wqbdwzuvze0j9ssehfa&amp;dl=0" TargetMode="External"/><Relationship Id="rId615" Type="http://schemas.openxmlformats.org/officeDocument/2006/relationships/hyperlink" Target="https://www.dropbox.com/scl/fi/yte8t79xsx20wyjozr950/40160.pdf?rlkey=xanf5hmb451snz3az1xog16ib&amp;dl=0" TargetMode="External"/><Relationship Id="rId822" Type="http://schemas.openxmlformats.org/officeDocument/2006/relationships/hyperlink" Target="https://www.dropbox.com/scl/fi/y8uiw21meu308m5gakdyj/41389.pdf?rlkey=q1ijqbmkcpdo45zwa1525byiw&amp;dl=0" TargetMode="External"/><Relationship Id="rId254" Type="http://schemas.openxmlformats.org/officeDocument/2006/relationships/hyperlink" Target="https://www.dropbox.com/scl/fi/gh9yz9wjd0oevtxeijfut/39498.pdf?rlkey=djakd3qfdjd2830u3mw84g1up&amp;dl=0" TargetMode="External"/><Relationship Id="rId699" Type="http://schemas.openxmlformats.org/officeDocument/2006/relationships/hyperlink" Target="https://www.dropbox.com/scl/fi/5m6m3utri6ijbcsafdix0/40403.pdf?rlkey=eu3ya13945r5h7ruuecbh8bek&amp;dl=0" TargetMode="External"/><Relationship Id="rId49" Type="http://schemas.openxmlformats.org/officeDocument/2006/relationships/hyperlink" Target="https://www.dropbox.com/scl/fi/ub8w759ai4vhf9uk470n3/41045.pdf?rlkey=wbix0en9ocjv0vipm6asqexfb&amp;dl=0" TargetMode="External"/><Relationship Id="rId114" Type="http://schemas.openxmlformats.org/officeDocument/2006/relationships/hyperlink" Target="https://www.dropbox.com/scl/fi/5sypwc4vyboc2ru9o8ahw/40818.pdf?rlkey=5pp9fxvdcza3ql727qaggwgev&amp;dl=0" TargetMode="External"/><Relationship Id="rId461" Type="http://schemas.openxmlformats.org/officeDocument/2006/relationships/hyperlink" Target="https://www.dropbox.com/scl/fi/rig5ejvaszsoad5tic9pv/39848.pdf?rlkey=fj09c7wuolbzxp9wen5y9ivzy&amp;dl=0" TargetMode="External"/><Relationship Id="rId559" Type="http://schemas.openxmlformats.org/officeDocument/2006/relationships/hyperlink" Target="https://www.dropbox.com/scl/fi/i5vzo97pljgs6rp1l7ci1/40068.pdf?rlkey=2eoaweaa6c366diwec895qmsa&amp;dl=0" TargetMode="External"/><Relationship Id="rId766" Type="http://schemas.openxmlformats.org/officeDocument/2006/relationships/hyperlink" Target="https://www.dropbox.com/scl/fi/xptczpvfborkrtnse4mgp/40822.pdf?rlkey=k5zbr76tikksykr3fnnfcfivq&amp;dl=0" TargetMode="External"/><Relationship Id="rId198" Type="http://schemas.openxmlformats.org/officeDocument/2006/relationships/hyperlink" Target="../../../../../Containers/com.microsoft.Excel/Data/Library/Application%20Support/01%202025/Dog/39411.pdf" TargetMode="External"/><Relationship Id="rId321" Type="http://schemas.openxmlformats.org/officeDocument/2006/relationships/hyperlink" Target="https://www.dropbox.com/scl/fi/dqodkpk226n0wib3na5bb/39598.pdf?rlkey=lhrs8wdymljwcmcb2svb5jy3o&amp;dl=0" TargetMode="External"/><Relationship Id="rId419" Type="http://schemas.openxmlformats.org/officeDocument/2006/relationships/hyperlink" Target="https://www.dropbox.com/scl/fi/hc9xnhlbr96hwgh8kdtv4/39782.pdf?rlkey=hmj2nlb0dt14iwllt31bw0gxy&amp;dl=0" TargetMode="External"/><Relationship Id="rId626" Type="http://schemas.openxmlformats.org/officeDocument/2006/relationships/hyperlink" Target="https://www.dropbox.com/scl/fi/5v1t39l6h2jrg69frqnhp/40188.pdf?rlkey=b9lyb34psqd6d052vqocvztbx&amp;dl=0" TargetMode="External"/><Relationship Id="rId833" Type="http://schemas.openxmlformats.org/officeDocument/2006/relationships/hyperlink" Target="https://www.dropbox.com/scl/fi/6alh44fdqaboe8fmz59yl/41425.pdf?rlkey=6bj5b0ehoifyxkqphwlneg56m&amp;dl=0" TargetMode="External"/><Relationship Id="rId265" Type="http://schemas.openxmlformats.org/officeDocument/2006/relationships/hyperlink" Target="https://www.dropbox.com/scl/fi/ba8p6ub2t3lp7ubjhyawh/39513.pdf?rlkey=feddxnf7yutmmuskd20vgsy2r&amp;dl=0" TargetMode="External"/><Relationship Id="rId472" Type="http://schemas.openxmlformats.org/officeDocument/2006/relationships/hyperlink" Target="https://www.dropbox.com/scl/fi/kl7x6h0hxpwk0zl6jh783/39874.pdf?rlkey=3groin405o9nhnj8pdfygubvo&amp;dl=0" TargetMode="External"/><Relationship Id="rId900" Type="http://schemas.openxmlformats.org/officeDocument/2006/relationships/hyperlink" Target="https://www.dropbox.com/scl/fi/9h8u2ogxi2r1ks47jiwwi/41589.pdf?rlkey=tm1ey4zoji3ck5ch38ihfzfmv&amp;dl=0" TargetMode="External"/><Relationship Id="rId125" Type="http://schemas.openxmlformats.org/officeDocument/2006/relationships/hyperlink" Target="https://www.dropbox.com/scl/fi/o2bdejeozcom2xrpzrzfv/41052.pdf?rlkey=okmg3x0vbwqhzsqj8s9u6mgpq&amp;dl=0" TargetMode="External"/><Relationship Id="rId332" Type="http://schemas.openxmlformats.org/officeDocument/2006/relationships/hyperlink" Target="https://www.dropbox.com/scl/fi/tzs41bodumqq3mhik3jom/39625.pdf?rlkey=66m982eqqmdqocup9rc1y5wna&amp;dl=0" TargetMode="External"/><Relationship Id="rId777" Type="http://schemas.openxmlformats.org/officeDocument/2006/relationships/hyperlink" Target="https://www.dropbox.com/scl/fi/6ujuwyeecvwdqzo1kc3je/40880.pdf?rlkey=jh53x5dchqd8next8ooixo1eb&amp;dl=0" TargetMode="External"/><Relationship Id="rId637" Type="http://schemas.openxmlformats.org/officeDocument/2006/relationships/hyperlink" Target="https://www.dropbox.com/scl/fi/urlh1epr094e1hu38daxa/40249.pdf?rlkey=651ng4sl7s61ii39frprjtc13&amp;dl=0" TargetMode="External"/><Relationship Id="rId844" Type="http://schemas.openxmlformats.org/officeDocument/2006/relationships/hyperlink" Target="https://www.dropbox.com/scl/fi/mvw1ypnar1k0vmk9hy4i6/41455.pdf?rlkey=6ubcczlbyn6b6tvku475wbeyp&amp;dl=0" TargetMode="External"/><Relationship Id="rId276" Type="http://schemas.openxmlformats.org/officeDocument/2006/relationships/hyperlink" Target="https://www.dropbox.com/scl/fi/vfjn4fa4z5ixlubf7c8bj/39534.pdf?rlkey=adoqrkkfdmvx52yuu9f4cr1vu&amp;dl=0" TargetMode="External"/><Relationship Id="rId483" Type="http://schemas.openxmlformats.org/officeDocument/2006/relationships/hyperlink" Target="https://www.dropbox.com/scl/fi/0dmwpx9m58tv5siz3uipi/39891.pdf?rlkey=fpkr7c5zg2w47f6fm028ey3zs&amp;dl=0" TargetMode="External"/><Relationship Id="rId690" Type="http://schemas.openxmlformats.org/officeDocument/2006/relationships/hyperlink" Target="https://www.dropbox.com/scl/fi/ihxf0qbmqegkmqmv21grl/40386.pdf?rlkey=vn84zs7bntenylmpopov5iyc7&amp;dl=0" TargetMode="External"/><Relationship Id="rId704" Type="http://schemas.openxmlformats.org/officeDocument/2006/relationships/hyperlink" Target="https://www.dropbox.com/scl/fi/f83sa7d2s2uy3ip49vtrv/40408.pdf?rlkey=p1r89vsiymq45fq9me4z6j22d&amp;dl=0" TargetMode="External"/><Relationship Id="rId911" Type="http://schemas.openxmlformats.org/officeDocument/2006/relationships/hyperlink" Target="https://www.dropbox.com/scl/fi/zgudtfpnbi6r7h6tdqaa4/41604.pdf?rlkey=6s6j2k7d7a55neynz6m4adyw2&amp;dl=0" TargetMode="External"/><Relationship Id="rId40" Type="http://schemas.openxmlformats.org/officeDocument/2006/relationships/hyperlink" Target="https://www.dropbox.com/scl/fi/1kxwm0kiyue9ypnezf392/40997.pdf?rlkey=clrwpo2cv68qpo0aitzgwutvj&amp;dl=0" TargetMode="External"/><Relationship Id="rId136" Type="http://schemas.openxmlformats.org/officeDocument/2006/relationships/hyperlink" Target="https://www.dropbox.com/scl/fi/28xzf79coxzdtatb4rf41/41136.pdf?rlkey=tiahkdj2wczn2t8jte77vbffu&amp;dl=0" TargetMode="External"/><Relationship Id="rId343" Type="http://schemas.openxmlformats.org/officeDocument/2006/relationships/hyperlink" Target="https://www.dropbox.com/scl/fi/ifztpi4l23ta17td6pa9m/39646.pdf?rlkey=6gi2kgll9o76zu49wrytlb8bv&amp;dl=0" TargetMode="External"/><Relationship Id="rId550" Type="http://schemas.openxmlformats.org/officeDocument/2006/relationships/hyperlink" Target="https://www.dropbox.com/scl/fi/5rs38mbkbic06ut24xv66/40031.pdf?rlkey=r1ipfa51ww9q3r7ob6flkrs4k&amp;dl=0" TargetMode="External"/><Relationship Id="rId788" Type="http://schemas.openxmlformats.org/officeDocument/2006/relationships/hyperlink" Target="https://www.dropbox.com/scl/fi/k3t3ozpzl1d7zesuvh4g7/40907.pdf?rlkey=qemi4jx3nlhqwismxbktvztu7&amp;dl=0" TargetMode="External"/><Relationship Id="rId203" Type="http://schemas.openxmlformats.org/officeDocument/2006/relationships/hyperlink" Target="https://www.dropbox.com/scl/fi/pnfvik3irjbmvklvs7cpn/39416.pdf?rlkey=41jc6kf7jni62pdt4d766hgq7&amp;dl=0" TargetMode="External"/><Relationship Id="rId648" Type="http://schemas.openxmlformats.org/officeDocument/2006/relationships/hyperlink" Target="https://www.dropbox.com/scl/fi/2ooq892fn3s55vxl2nlld/40260.pdf?rlkey=1srg4zqg4bp3ahaowuuhtlw5g&amp;dl=0" TargetMode="External"/><Relationship Id="rId855" Type="http://schemas.openxmlformats.org/officeDocument/2006/relationships/hyperlink" Target="https://www.dropbox.com/scl/fi/dlms3jev697frtcqhzrrl/41498.pdf?rlkey=p0pc2r3tqip97wvsb2fbq5btg&amp;dl=0" TargetMode="External"/><Relationship Id="rId287" Type="http://schemas.openxmlformats.org/officeDocument/2006/relationships/hyperlink" Target="https://www.dropbox.com/scl/fi/tagb67brxwmdfyhttslqj/39548.pdf?rlkey=sgrrslg79lxtw2fodfqdrzhz5&amp;dl=0" TargetMode="External"/><Relationship Id="rId410" Type="http://schemas.openxmlformats.org/officeDocument/2006/relationships/hyperlink" Target="https://www.dropbox.com/scl/fi/sbbj9rpiyjslyyrr15vee/39772.pdf?rlkey=dol5p1z6zbf9rg1sr1dr5gv34&amp;dl=0" TargetMode="External"/><Relationship Id="rId494" Type="http://schemas.openxmlformats.org/officeDocument/2006/relationships/hyperlink" Target="https://www.dropbox.com/scl/fi/ooro6wwpxtusgfe0s8mz4/39915.pdf?rlkey=karyykiuafaiovmfp8351lrky&amp;dl=0" TargetMode="External"/><Relationship Id="rId508" Type="http://schemas.openxmlformats.org/officeDocument/2006/relationships/hyperlink" Target="https://www.dropbox.com/scl/fi/ibile9r4aq54kr3eb7azm/39943.pdf?rlkey=qrbo87tw12conaftq0k7makgx&amp;dl=0" TargetMode="External"/><Relationship Id="rId715" Type="http://schemas.openxmlformats.org/officeDocument/2006/relationships/hyperlink" Target="https://www.dropbox.com/scl/fi/x74p2qgkjr4qpjn23s1aq/40450.pdf?rlkey=686zz68ut60xlempav01odqk1&amp;dl=0" TargetMode="External"/><Relationship Id="rId922" Type="http://schemas.openxmlformats.org/officeDocument/2006/relationships/hyperlink" Target="https://www.dropbox.com/scl/fi/k6hkd2ckqf8idf5fhalsq/41634.pdf?rlkey=nko93y7n44846bqb4y1023s0x&amp;dl=0" TargetMode="External"/><Relationship Id="rId147" Type="http://schemas.openxmlformats.org/officeDocument/2006/relationships/hyperlink" Target="https://www.dropbox.com/scl/fi/d0xgya04wnx6dag2ukkjx/41171.pdf?rlkey=hl0k330l2y1ttk11f2qsurgql&amp;dl=0" TargetMode="External"/><Relationship Id="rId354" Type="http://schemas.openxmlformats.org/officeDocument/2006/relationships/hyperlink" Target="https://www.dropbox.com/scl/fi/623yps2x24vletsa5x3ih/39666.pdf?rlkey=sags55celyywa23f10t9uk1d1&amp;dl=0" TargetMode="External"/><Relationship Id="rId799" Type="http://schemas.openxmlformats.org/officeDocument/2006/relationships/hyperlink" Target="https://www.dropbox.com/scl/fi/bcsnkkp2227s7djxal24y/40925.pdf?rlkey=4uxgtx6eby4106ppda9kio9nv&amp;dl=0" TargetMode="External"/><Relationship Id="rId51" Type="http://schemas.openxmlformats.org/officeDocument/2006/relationships/hyperlink" Target="https://www.dropbox.com/scl/fi/d4mn0mxo83hnvt41ateg2/41068.pdf?rlkey=6o60le6g5rsipdri9x6gp5cuj&amp;dl=0" TargetMode="External"/><Relationship Id="rId561" Type="http://schemas.openxmlformats.org/officeDocument/2006/relationships/hyperlink" Target="https://www.dropbox.com/scl/fi/7c8qkqfopl447ik6sqag9/40070.pdf?rlkey=fbznudrwk44j3degb4nyuhk08&amp;dl=0" TargetMode="External"/><Relationship Id="rId659" Type="http://schemas.openxmlformats.org/officeDocument/2006/relationships/hyperlink" Target="https://www.dropbox.com/scl/fi/5znnsja0whseucp1jrbob/40283.pdf?rlkey=38vefm1bukptr10h5h0ghboz9&amp;dl=0" TargetMode="External"/><Relationship Id="rId866" Type="http://schemas.openxmlformats.org/officeDocument/2006/relationships/hyperlink" Target="https://www.dropbox.com/scl/fi/90w3kf5extohz36qvqljg/41528.pdf?rlkey=5jg9pdlr3e1nmyr1auzk92xp5&amp;dl=0" TargetMode="External"/><Relationship Id="rId214" Type="http://schemas.openxmlformats.org/officeDocument/2006/relationships/hyperlink" Target="https://www.dropbox.com/scl/fi/7sg8ooev4uf6gupar3pk5/39434.pdf?rlkey=jtclxlorrtbydf1y9kw09e3ll&amp;dl=0" TargetMode="External"/><Relationship Id="rId298" Type="http://schemas.openxmlformats.org/officeDocument/2006/relationships/hyperlink" Target="https://www.dropbox.com/scl/fi/v0d9965l2x14cqebg49bb/39561.pdf?rlkey=rzzz4us15wmu4kv3plizp0914&amp;dl=0" TargetMode="External"/><Relationship Id="rId421" Type="http://schemas.openxmlformats.org/officeDocument/2006/relationships/hyperlink" Target="https://www.dropbox.com/scl/fi/fx3vqe222ksneq0k5gak2/39784.pdf?rlkey=3sbnaqmzn9lcfbprjvm1zmx9x&amp;dl=0" TargetMode="External"/><Relationship Id="rId519" Type="http://schemas.openxmlformats.org/officeDocument/2006/relationships/hyperlink" Target="https://www.dropbox.com/scl/fi/ck8app5jvlmlckrh40qvp/39974.pdf?rlkey=6un7gn17dpkbfge67yhbyioqm&amp;dl=0" TargetMode="External"/><Relationship Id="rId158" Type="http://schemas.openxmlformats.org/officeDocument/2006/relationships/hyperlink" Target="https://www.dropbox.com/scl/fi/2fcvhkf8elxd6ex1fsse9/41202.pdf?rlkey=oasmb37o6191osbr959tm1khh&amp;dl=0" TargetMode="External"/><Relationship Id="rId726" Type="http://schemas.openxmlformats.org/officeDocument/2006/relationships/hyperlink" Target="https://www.dropbox.com/scl/fi/ddmcsm353frtm1hrp7v8x/40486.pdf?rlkey=f79l8wcp6vajfj5iv2z1o2owx&amp;dl=0" TargetMode="External"/><Relationship Id="rId933" Type="http://schemas.openxmlformats.org/officeDocument/2006/relationships/hyperlink" Target="https://www.dropbox.com/scl/fi/cts4z5m7ef9dqystkgn4r/41654.pdf?rlkey=8jbwx4grkgjrz103zau07v2sl&amp;dl=0" TargetMode="External"/><Relationship Id="rId62" Type="http://schemas.openxmlformats.org/officeDocument/2006/relationships/hyperlink" Target="https://www.dropbox.com/scl/fi/jlhiv2uuisdczixiy1ups/41131.pdf?rlkey=50rtd5cmyr3msl3stc25asy0k&amp;dl=0" TargetMode="External"/><Relationship Id="rId365" Type="http://schemas.openxmlformats.org/officeDocument/2006/relationships/hyperlink" Target="https://www.dropbox.com/scl/fi/l9k1qtjn1oqy5z8wleecj/39684.pdf?rlkey=v3tcqwcz8ibw190ztvdnxcebn&amp;dl=0" TargetMode="External"/><Relationship Id="rId572" Type="http://schemas.openxmlformats.org/officeDocument/2006/relationships/hyperlink" Target="https://www.dropbox.com/scl/fi/4qh897ignugm8ojco38ib/40086.pdf?rlkey=e9lr3t1wx5yia1302a4ay818a&amp;dl=0" TargetMode="External"/><Relationship Id="rId225" Type="http://schemas.openxmlformats.org/officeDocument/2006/relationships/hyperlink" Target="https://www.dropbox.com/scl/fi/paa9bzvgwdkqrqsqnw81w/39455.pdf?rlkey=x438lijgt0g72hbq01p82bb4d&amp;dl=0" TargetMode="External"/><Relationship Id="rId432" Type="http://schemas.openxmlformats.org/officeDocument/2006/relationships/hyperlink" Target="https://www.dropbox.com/scl/fi/p0rqaipp71nhr222n3wa1/39800.pdf?rlkey=yu8q4olyybqzplwdm085tb5au&amp;dl=0" TargetMode="External"/><Relationship Id="rId877" Type="http://schemas.openxmlformats.org/officeDocument/2006/relationships/hyperlink" Target="https://www.dropbox.com/scl/fi/yatuka8ujz4bp9grw1je1/41545.pdf?rlkey=9d5c6k5xspo4epr5k1fwsu0qt&amp;dl=0" TargetMode="External"/><Relationship Id="rId737" Type="http://schemas.openxmlformats.org/officeDocument/2006/relationships/hyperlink" Target="https://www.dropbox.com/scl/fi/x27hj9eja9hjq5ronssz4/40535.pdf?rlkey=w52o0xflipqwkj1e1uhdvixmw&amp;dl=0" TargetMode="External"/><Relationship Id="rId944" Type="http://schemas.openxmlformats.org/officeDocument/2006/relationships/hyperlink" Target="https://www.dropbox.com/scl/fi/95rvx3fcn446613yx1tl2/41677.pdf?rlkey=albfkcati2yhrlu4z3p49s6ue&amp;dl=0" TargetMode="External"/><Relationship Id="rId73" Type="http://schemas.openxmlformats.org/officeDocument/2006/relationships/hyperlink" Target="https://www.dropbox.com/scl/fi/r54td685vlsmwcsu5bvlm/41055.pdf?rlkey=pyla9kjbkwlrt6un8amk268vt&amp;dl=0" TargetMode="External"/><Relationship Id="rId169" Type="http://schemas.openxmlformats.org/officeDocument/2006/relationships/hyperlink" Target="https://www.dropbox.com/scl/fi/f8pillqw9q37fgqx0e34p/41230.pdf?rlkey=6q3bq1pq0pke4ybshwa0exuct&amp;dl=0" TargetMode="External"/><Relationship Id="rId376" Type="http://schemas.openxmlformats.org/officeDocument/2006/relationships/hyperlink" Target="https://www.dropbox.com/scl/fi/ltsn3x7nihlpvuc64ek77/39701.pdf?rlkey=pm3cjna3k72eey5m6ek051cax&amp;dl=0" TargetMode="External"/><Relationship Id="rId583" Type="http://schemas.openxmlformats.org/officeDocument/2006/relationships/hyperlink" Target="https://www.dropbox.com/scl/fi/owf8or0vanez25jt4m8ho/40100.pdf?rlkey=9hisry8hprgcxfxuwr45wuccn&amp;dl=0" TargetMode="External"/><Relationship Id="rId790" Type="http://schemas.openxmlformats.org/officeDocument/2006/relationships/hyperlink" Target="https://www.dropbox.com/scl/fi/fakcuj0s8uchxxwjuy13i/40909.pdf?rlkey=zhsr9d0fic2ywwgq7ecfpdfue&amp;dl=0" TargetMode="External"/><Relationship Id="rId804" Type="http://schemas.openxmlformats.org/officeDocument/2006/relationships/hyperlink" Target="https://www.dropbox.com/scl/fi/y1lonlnfgslwtbobislqi/40952.pdf?rlkey=c4tp65oh0uglkcc6xuzczkptr&amp;dl=0" TargetMode="External"/><Relationship Id="rId4" Type="http://schemas.openxmlformats.org/officeDocument/2006/relationships/hyperlink" Target="https://www.dropbox.com/scl/fi/zkwon2bmz6ul6zqexrus2/40939.pdf?rlkey=so18nt1fqnkg9hh0dmt5y15p0&amp;dl=0" TargetMode="External"/><Relationship Id="rId236" Type="http://schemas.openxmlformats.org/officeDocument/2006/relationships/hyperlink" Target="https://www.dropbox.com/scl/fi/qeljxkeye6zwr6q1fmji1/39474.pdf?rlkey=l2fpjzx6fzdaa6h1xx6arkdik&amp;dl=0" TargetMode="External"/><Relationship Id="rId443" Type="http://schemas.openxmlformats.org/officeDocument/2006/relationships/hyperlink" Target="https://www.dropbox.com/scl/fi/4uhrxfjbpbzxbn715mo2a/39823.pdf?rlkey=ya3er0mxs6w1lu5g2k2nbgg9c&amp;dl=0" TargetMode="External"/><Relationship Id="rId650" Type="http://schemas.openxmlformats.org/officeDocument/2006/relationships/hyperlink" Target="https://www.dropbox.com/scl/fi/onzpgc97zes3sqfh3or17/40262.pdf?rlkey=i0oxofp8mqoda4xorevk838o0&amp;dl=0" TargetMode="External"/><Relationship Id="rId888" Type="http://schemas.openxmlformats.org/officeDocument/2006/relationships/hyperlink" Target="https://www.dropbox.com/scl/fi/b86tx4rrxgm2cumyxrs4v/41559.pdf?rlkey=a1co4diue1idr599bonoreagx&amp;dl=0" TargetMode="External"/><Relationship Id="rId303" Type="http://schemas.openxmlformats.org/officeDocument/2006/relationships/hyperlink" Target="https://www.dropbox.com/scl/fi/kesgdiec0kvlpz8vchr6i/39569.pdf?rlkey=syp78iq27olfrfhlam2y6axho&amp;dl=0" TargetMode="External"/><Relationship Id="rId748" Type="http://schemas.openxmlformats.org/officeDocument/2006/relationships/hyperlink" Target="https://www.dropbox.com/scl/fi/a621nuqb8m2345dvj9aoi/40731.pdf?rlkey=k4r0umn6jhwgoocmikczgqqjr&amp;dl=0" TargetMode="External"/><Relationship Id="rId955" Type="http://schemas.openxmlformats.org/officeDocument/2006/relationships/hyperlink" Target="https://www.dropbox.com/scl/fi/gtaw70835dtfxgcz9j3s8/41690.pdf?rlkey=tj9b96pn2pritmxgqw8rb48ge&amp;dl=0" TargetMode="External"/><Relationship Id="rId84" Type="http://schemas.openxmlformats.org/officeDocument/2006/relationships/hyperlink" Target="https://www.dropbox.com/scl/fi/1lbamx3gh6q5kt4j0ymqx/41286.pdf?rlkey=isqpxehm5lkxzhe4z1las7apb&amp;dl=0" TargetMode="External"/><Relationship Id="rId387" Type="http://schemas.openxmlformats.org/officeDocument/2006/relationships/hyperlink" Target="https://www.dropbox.com/scl/fi/oirrv2v0wgmk6a7j94z7y/39715.pdf?rlkey=gqm0t6qkkyngi4e31a010bltm&amp;dl=0" TargetMode="External"/><Relationship Id="rId510" Type="http://schemas.openxmlformats.org/officeDocument/2006/relationships/hyperlink" Target="https://www.dropbox.com/scl/fi/jp16u8v6ecz47ins28ckl/39953.pdf?rlkey=hqkxy3njn01sq6zjagt57fmvr&amp;dl=0" TargetMode="External"/><Relationship Id="rId594" Type="http://schemas.openxmlformats.org/officeDocument/2006/relationships/hyperlink" Target="https://www.dropbox.com/scl/fi/7run0fr86ge9w9utcp5db/40118.pdf?rlkey=so8kjdvc7cyy9iw23gt44tkp4&amp;dl=0" TargetMode="External"/><Relationship Id="rId608" Type="http://schemas.openxmlformats.org/officeDocument/2006/relationships/hyperlink" Target="https://www.dropbox.com/scl/fi/yocc5ml4vgglskp6xpscc/40149.pdf?rlkey=net97co5qjdovn5twu1fugw62&amp;dl=0" TargetMode="External"/><Relationship Id="rId815" Type="http://schemas.openxmlformats.org/officeDocument/2006/relationships/hyperlink" Target="https://www.dropbox.com/scl/fi/w0v1mh3y2m9fsmkt6ouoe/40987.pdf?rlkey=w33kvf3s3jymqkmz1yzzksnfk&amp;dl=0" TargetMode="External"/><Relationship Id="rId247" Type="http://schemas.openxmlformats.org/officeDocument/2006/relationships/hyperlink" Target="https://www.dropbox.com/scl/fi/qltzwnocwept1s04lcogp/39490.pdf?rlkey=ged6f1oluo5y8c2t4meivw2yy&amp;dl=0" TargetMode="External"/><Relationship Id="rId899" Type="http://schemas.openxmlformats.org/officeDocument/2006/relationships/hyperlink" Target="https://www.dropbox.com/scl/fi/fa9d6vhctucazst193p3m/41582.pdf?rlkey=ez7ylutje9m51xub8bpbg5hh4&amp;dl=0" TargetMode="External"/><Relationship Id="rId107" Type="http://schemas.openxmlformats.org/officeDocument/2006/relationships/hyperlink" Target="https://www.dropbox.com/scl/fi/6d5nzkdc19pwierj9yfsv/41150.pdf?rlkey=i3a3zjf49i3jhsz4z0bc0nw0o&amp;dl=0" TargetMode="External"/><Relationship Id="rId454" Type="http://schemas.openxmlformats.org/officeDocument/2006/relationships/hyperlink" Target="https://www.dropbox.com/scl/fi/vuo0ru3j79a26kmrhvkb9/39841.pdf?rlkey=ryh91lnzjyyjkmtrzc10svpmm&amp;dl=0" TargetMode="External"/><Relationship Id="rId661" Type="http://schemas.openxmlformats.org/officeDocument/2006/relationships/hyperlink" Target="https://www.dropbox.com/scl/fi/o4yzbz6q4jc6atpgf8td5/40309.pdf?rlkey=seu3xav9wmpz16qt9ggnm149g&amp;dl=0" TargetMode="External"/><Relationship Id="rId759" Type="http://schemas.openxmlformats.org/officeDocument/2006/relationships/hyperlink" Target="https://www.dropbox.com/scl/fi/e5dj7kgbittmxsmocll0w/40792.pdf?rlkey=x4hnlqufjh28xyrbx1yu79vqv&amp;dl=0" TargetMode="External"/><Relationship Id="rId966" Type="http://schemas.openxmlformats.org/officeDocument/2006/relationships/hyperlink" Target="https://www.dropbox.com/scl/fi/8w8gexsvskled5hj1md08/41708.pdf?rlkey=ecaapt7qsshokvudy8w4k0wjp&amp;dl=0" TargetMode="External"/><Relationship Id="rId11" Type="http://schemas.openxmlformats.org/officeDocument/2006/relationships/hyperlink" Target="https://www.dropbox.com/scl/fi/hiyuth1o8k68eqq16plqr/40353.pdf?rlkey=pvwiveiifi82eram510jlkq31&amp;dl=0" TargetMode="External"/><Relationship Id="rId314" Type="http://schemas.openxmlformats.org/officeDocument/2006/relationships/hyperlink" Target="https://www.dropbox.com/scl/fi/xf5vfqqgpbjk73p889p17/39582.pdf?rlkey=0dvn025jzsl5bd17058jzjnv0&amp;dl=0" TargetMode="External"/><Relationship Id="rId398" Type="http://schemas.openxmlformats.org/officeDocument/2006/relationships/hyperlink" Target="https://www.dropbox.com/scl/fi/4igrdw2xp9u9x1c3cjzy8/39746.pdf?rlkey=6mryc8qvotxg3bbd67p44v9e0&amp;dl=0" TargetMode="External"/><Relationship Id="rId521" Type="http://schemas.openxmlformats.org/officeDocument/2006/relationships/hyperlink" Target="https://www.dropbox.com/scl/fi/w8p7q2q7axoubf4brc5t8/39976.pdf?rlkey=byj4tjs1g39f314fpbfp04wzj&amp;dl=0" TargetMode="External"/><Relationship Id="rId619" Type="http://schemas.openxmlformats.org/officeDocument/2006/relationships/hyperlink" Target="https://www.dropbox.com/scl/fi/sgidxaoyntisg8o8pptm8/40167.pdf?rlkey=ofvd24qmky3e9lmflcf7by47e&amp;dl=0" TargetMode="External"/><Relationship Id="rId95" Type="http://schemas.openxmlformats.org/officeDocument/2006/relationships/hyperlink" Target="https://www.dropbox.com/scl/fi/rdpmofwzsugr6eppmr5is/41226.pdf?rlkey=uxa0dzbhtdtpd6lk8f7u4z8ay&amp;dl=0" TargetMode="External"/><Relationship Id="rId160" Type="http://schemas.openxmlformats.org/officeDocument/2006/relationships/hyperlink" Target="https://www.dropbox.com/scl/fi/ffm7prlhqj67cjl04b594/41217.pdf?rlkey=ht0gr7xp1w152gw7odp9y7ogi&amp;dl=0" TargetMode="External"/><Relationship Id="rId826" Type="http://schemas.openxmlformats.org/officeDocument/2006/relationships/hyperlink" Target="https://www.dropbox.com/scl/fi/l1m8wlhq5lmycxftlh6w7/41410.pdf?rlkey=ikgu2d60hocb2z50pi86585iq&amp;dl=0" TargetMode="External"/><Relationship Id="rId258" Type="http://schemas.openxmlformats.org/officeDocument/2006/relationships/hyperlink" Target="https://www.dropbox.com/scl/fi/6e0g7seml2v0ktciculnu/39503.pdf?rlkey=6ea800h6i7e21ltbwuokdgceg&amp;dl=0" TargetMode="External"/><Relationship Id="rId465" Type="http://schemas.openxmlformats.org/officeDocument/2006/relationships/hyperlink" Target="https://www.dropbox.com/scl/fi/2cj5eqerh94ehft1nwth2/39865.pdf?rlkey=bn1du1x74r0khul6q817r9ijv&amp;dl=0" TargetMode="External"/><Relationship Id="rId672" Type="http://schemas.openxmlformats.org/officeDocument/2006/relationships/hyperlink" Target="https://www.dropbox.com/scl/fi/uktb0iooedwb7e9mnid20/40342.pdf?rlkey=vfggan3zl22kkp2axgjadh68w&amp;dl=0" TargetMode="External"/><Relationship Id="rId22" Type="http://schemas.openxmlformats.org/officeDocument/2006/relationships/hyperlink" Target="https://www.dropbox.com/scl/fi/5photje134m003o5ocuuj/41293.pdf?rlkey=ai3eb34gnct7v2sa1h0sbyink&amp;dl=0" TargetMode="External"/><Relationship Id="rId118" Type="http://schemas.openxmlformats.org/officeDocument/2006/relationships/hyperlink" Target="https://www.dropbox.com/scl/fi/ti0z00klu6vch2g3gtgzr/40963.pdf?rlkey=50g6hdq69hvvmbcxvu9rgnm1p&amp;dl=0" TargetMode="External"/><Relationship Id="rId325" Type="http://schemas.openxmlformats.org/officeDocument/2006/relationships/hyperlink" Target="https://www.dropbox.com/scl/fi/mmj426jlzdzr9enjwz7mr/39603.pdf?rlkey=qm3u7v8wcqbio7ybc3uzymwpi&amp;dl=0" TargetMode="External"/><Relationship Id="rId532" Type="http://schemas.openxmlformats.org/officeDocument/2006/relationships/hyperlink" Target="https://www.dropbox.com/scl/fi/9qyw3jcfem2opsawrx9ee/39999.pdf?rlkey=ksumjy1ex3crx9erfyzxgmtqs&amp;dl=0" TargetMode="External"/><Relationship Id="rId171" Type="http://schemas.openxmlformats.org/officeDocument/2006/relationships/hyperlink" Target="https://www.dropbox.com/scl/fi/fpx1zv4hhufcfgsowbobf/41249.pdf?rlkey=9545074bowk12rjr8dfrj6eqd&amp;dl=0" TargetMode="External"/><Relationship Id="rId837" Type="http://schemas.openxmlformats.org/officeDocument/2006/relationships/hyperlink" Target="https://www.dropbox.com/scl/fi/nhrt4m275j0ihz8vd2ag2/41439.pdf?rlkey=5b2hle8msc7rzchkdg1r2avnt&amp;dl=0" TargetMode="External"/><Relationship Id="rId269" Type="http://schemas.openxmlformats.org/officeDocument/2006/relationships/hyperlink" Target="https://www.dropbox.com/scl/fi/gh7kijdnsnrd91g4526e1/39517.pdf?rlkey=33g7gx4hi8dxj2uzajd4fhmk7&amp;dl=0" TargetMode="External"/><Relationship Id="rId476" Type="http://schemas.openxmlformats.org/officeDocument/2006/relationships/hyperlink" Target="https://www.dropbox.com/scl/fi/pm1c284yg6stztv7t84mg/39881.pdf?rlkey=ad1wj3inuhg6ii7m8x9zokz7e&amp;dl=0" TargetMode="External"/><Relationship Id="rId683" Type="http://schemas.openxmlformats.org/officeDocument/2006/relationships/hyperlink" Target="https://www.dropbox.com/scl/fi/nrw9pde7p1m5e8994hor7/40368.pdf?rlkey=dypo4mvepsp5a0u9ga8i5wqs1&amp;dl=0" TargetMode="External"/><Relationship Id="rId890" Type="http://schemas.openxmlformats.org/officeDocument/2006/relationships/hyperlink" Target="https://www.dropbox.com/scl/fi/rq9lnpqsfwpvy3z3og5wz/41566.pdf?rlkey=eju6gb33vpzgdj5r14i180vpz&amp;dl=0" TargetMode="External"/><Relationship Id="rId904" Type="http://schemas.openxmlformats.org/officeDocument/2006/relationships/hyperlink" Target="https://www.dropbox.com/scl/fi/ui2z7tgxh4ewb7114na76/41593.pdf?rlkey=j05vh3l11e33mjgsgaioj9ucq&amp;dl=0" TargetMode="External"/><Relationship Id="rId33" Type="http://schemas.openxmlformats.org/officeDocument/2006/relationships/hyperlink" Target="https://www.dropbox.com/scl/fi/6ix06suwueb22xifxe34p/40994.pdf?rlkey=jozr9emza5kq6oh65tm31bwmb&amp;dl=0" TargetMode="External"/><Relationship Id="rId129" Type="http://schemas.openxmlformats.org/officeDocument/2006/relationships/hyperlink" Target="https://www.dropbox.com/scl/fi/espfwfudjjzhzws0eukns/41082.pdf?rlkey=2gcupxjnr9u5750n0yirluav8&amp;dl=0" TargetMode="External"/><Relationship Id="rId336" Type="http://schemas.openxmlformats.org/officeDocument/2006/relationships/hyperlink" Target="https://www.dropbox.com/scl/fi/qhjwpvdp0tdug01o1hbdk/39639.pdf?rlkey=855yowskmp67gr5cwi1ltbslp&amp;dl=0" TargetMode="External"/><Relationship Id="rId543" Type="http://schemas.openxmlformats.org/officeDocument/2006/relationships/hyperlink" Target="https://www.dropbox.com/scl/fi/z3oksyykta9sxtbnevg1h/40019.pdf?rlkey=0nyrvfuqfhl030sjn768zvfm7&amp;dl=0" TargetMode="External"/><Relationship Id="rId182" Type="http://schemas.openxmlformats.org/officeDocument/2006/relationships/hyperlink" Target="https://www.dropbox.com/scl/fi/pq67pcvwd5qagfpazquaj/41300.pdf?rlkey=84olwg97shcsv4wek14nktyrw&amp;dl=0" TargetMode="External"/><Relationship Id="rId403" Type="http://schemas.openxmlformats.org/officeDocument/2006/relationships/hyperlink" Target="https://www.dropbox.com/scl/fi/w2yx8qan5mfwwbpw54w56/39755.pdf?rlkey=a9h99h47tatehg8lhvn81k3eg&amp;dl=0" TargetMode="External"/><Relationship Id="rId750" Type="http://schemas.openxmlformats.org/officeDocument/2006/relationships/hyperlink" Target="https://www.dropbox.com/scl/fi/7svu0n2lb6f59jz1ofq92/40733.pdf?rlkey=em7bydq7cwnpvhuev1ns1f49x&amp;dl=0" TargetMode="External"/><Relationship Id="rId848" Type="http://schemas.openxmlformats.org/officeDocument/2006/relationships/hyperlink" Target="https://www.dropbox.com/scl/fi/ob45k63jgcjm53hq7y13i/41477.pdf?rlkey=ltaivabnhbrna4fr7wupo7ign&amp;dl=0" TargetMode="External"/><Relationship Id="rId487" Type="http://schemas.openxmlformats.org/officeDocument/2006/relationships/hyperlink" Target="https://www.dropbox.com/scl/fi/cteqqolhbj5rqgbckxuku/39901.pdf?rlkey=r6cr9gj9kjc7ww16i5to5c418&amp;dl=0" TargetMode="External"/><Relationship Id="rId610" Type="http://schemas.openxmlformats.org/officeDocument/2006/relationships/hyperlink" Target="https://www.dropbox.com/scl/fi/3v0dxjct5oyll5n7czmh2/40151.pdf?rlkey=kvyoiq5d9f64qcci7redmujqp&amp;dl=0" TargetMode="External"/><Relationship Id="rId694" Type="http://schemas.openxmlformats.org/officeDocument/2006/relationships/hyperlink" Target="https://www.dropbox.com/scl/fi/g4pwjea2bwnfwyonqn3id/40392.pdf?rlkey=nnozwqhf7n7yciltcma3218iw&amp;dl=0" TargetMode="External"/><Relationship Id="rId708" Type="http://schemas.openxmlformats.org/officeDocument/2006/relationships/hyperlink" Target="https://www.dropbox.com/scl/fi/7mrt5w8kbbjf0xfdd3gjb/40412.pdf?rlkey=knmuvb54a7uxdsagg8bh9rny7&amp;dl=0" TargetMode="External"/><Relationship Id="rId915" Type="http://schemas.openxmlformats.org/officeDocument/2006/relationships/hyperlink" Target="https://www.dropbox.com/scl/fi/nd1ig8auc66bllypowlm0/41608.pdf?rlkey=v4vcq4bbv0n6zqlkxfz4xledg&amp;dl=0" TargetMode="External"/><Relationship Id="rId347" Type="http://schemas.openxmlformats.org/officeDocument/2006/relationships/hyperlink" Target="https://www.dropbox.com/scl/fi/65agilzwoo45ohzwp69su/39654.pdf?rlkey=8mw8q40ceof6pf4jx4be0xyvd&amp;dl=0" TargetMode="External"/><Relationship Id="rId44" Type="http://schemas.openxmlformats.org/officeDocument/2006/relationships/hyperlink" Target="https://www.dropbox.com/scl/fi/0lbro3u0k3z2a265v4qsq/41056.pdf?rlkey=eab5xglq83nqq2rkl6vxtrop2&amp;dl=0" TargetMode="External"/><Relationship Id="rId554" Type="http://schemas.openxmlformats.org/officeDocument/2006/relationships/hyperlink" Target="https://www.dropbox.com/scl/fi/cl0f63lzh5rw904l82zck/40045.pdf?rlkey=kxy2i0m86ji51rl7isdkpk6bn&amp;dl=0" TargetMode="External"/><Relationship Id="rId761" Type="http://schemas.openxmlformats.org/officeDocument/2006/relationships/hyperlink" Target="https://www.dropbox.com/scl/fi/lz40ynnivnud5du378o5m/40801.pdf?rlkey=mzvcip1fpmju420fj57inz0l4&amp;dl=0" TargetMode="External"/><Relationship Id="rId859" Type="http://schemas.openxmlformats.org/officeDocument/2006/relationships/hyperlink" Target="https://www.dropbox.com/scl/fi/yze6c6ncwu8vhml3s6qfx/41514.pdf?rlkey=rirq6oqiyrfezu1nbzze1donl&amp;dl=0" TargetMode="External"/><Relationship Id="rId193" Type="http://schemas.openxmlformats.org/officeDocument/2006/relationships/hyperlink" Target="https://www.dropbox.com/scl/fi/616hdosxavw8wwgmxdou9/41366.pdf?rlkey=i0vl6cksl05euxmjxifpabk43&amp;dl=0" TargetMode="External"/><Relationship Id="rId207" Type="http://schemas.openxmlformats.org/officeDocument/2006/relationships/hyperlink" Target="https://www.dropbox.com/scl/fi/ajb1vyobjthjpxa6vwzuy/39425.pdf?rlkey=2k1mdnltwo3qaqytm8g8leouc&amp;dl=0" TargetMode="External"/><Relationship Id="rId414" Type="http://schemas.openxmlformats.org/officeDocument/2006/relationships/hyperlink" Target="https://www.dropbox.com/scl/fi/lfiah5amotu2286uj99sn/39776.pdf?rlkey=s3j1zby81eg4dr3l80ioawvz2&amp;dl=0" TargetMode="External"/><Relationship Id="rId498" Type="http://schemas.openxmlformats.org/officeDocument/2006/relationships/hyperlink" Target="https://www.dropbox.com/scl/fi/w0vu0xmz9xsf1ma89sicq/39932.pdf?rlkey=m9ffr8yt1t1v3s02i03rlodjv&amp;dl=0" TargetMode="External"/><Relationship Id="rId621" Type="http://schemas.openxmlformats.org/officeDocument/2006/relationships/hyperlink" Target="https://www.dropbox.com/scl/fi/hfylgcm18iqr0jx1xgoys/40169.pdf?rlkey=zzvawlhilup0axxsu2n5ghg73&amp;dl=0" TargetMode="External"/><Relationship Id="rId260" Type="http://schemas.openxmlformats.org/officeDocument/2006/relationships/hyperlink" Target="https://www.dropbox.com/scl/fi/ad28cugk0afmbvh9aq041/39506.pdf?rlkey=9zf5e0umizd5fs9ks0qyvxjbt&amp;dl=0" TargetMode="External"/><Relationship Id="rId719" Type="http://schemas.openxmlformats.org/officeDocument/2006/relationships/hyperlink" Target="https://www.dropbox.com/scl/fi/3qkndqmg77kt907nyot15/40462.pdf?rlkey=xjaaqpzaojtm2i6s3jvf0elc2&amp;dl=0" TargetMode="External"/><Relationship Id="rId926" Type="http://schemas.openxmlformats.org/officeDocument/2006/relationships/hyperlink" Target="https://www.dropbox.com/scl/fi/g89g51f1vum8dc5got6c5/41640.pdf?rlkey=7nz7z4sfeulqm4bc8tenc0kxp&amp;dl=0" TargetMode="External"/><Relationship Id="rId55" Type="http://schemas.openxmlformats.org/officeDocument/2006/relationships/hyperlink" Target="https://www.dropbox.com/scl/fi/adb3jqj35azeslwsbkvu9/41330.pdf?rlkey=hokqn9ikyzbxrmf2h4fsjj4q2&amp;dl=0" TargetMode="External"/><Relationship Id="rId120" Type="http://schemas.openxmlformats.org/officeDocument/2006/relationships/hyperlink" Target="https://www.dropbox.com/scl/fi/4kkba2fr0pxfdgltoi2w1/41022.pdf?rlkey=bz9bhcxrudvxasryr3n5fjr77&amp;dl=0" TargetMode="External"/><Relationship Id="rId358" Type="http://schemas.openxmlformats.org/officeDocument/2006/relationships/hyperlink" Target="https://www.dropbox.com/scl/fi/3x0potxp1dl0ywod9a0ak/39675.pdf?rlkey=4pxkud745jm11xbeu4doffugg&amp;dl=0" TargetMode="External"/><Relationship Id="rId565" Type="http://schemas.openxmlformats.org/officeDocument/2006/relationships/hyperlink" Target="https://www.dropbox.com/scl/fi/aswsw7y9a58yrlygxl909/40077.pdf?rlkey=zoinfesgnmvk29q98e7yfn43o&amp;dl=0" TargetMode="External"/><Relationship Id="rId772" Type="http://schemas.openxmlformats.org/officeDocument/2006/relationships/hyperlink" Target="https://www.dropbox.com/scl/fi/z5s5eoja3yhvr5alko7da/40851.pdf?rlkey=coyf9dprlncqi5y24kyf94cez&amp;dl=0" TargetMode="External"/><Relationship Id="rId218" Type="http://schemas.openxmlformats.org/officeDocument/2006/relationships/hyperlink" Target="https://www.dropbox.com/scl/fi/oy1xhgc6t4l9wixscyrgu/39444.pdf?rlkey=uq1yku99t6x1gagq68cb3wdvv&amp;dl=0" TargetMode="External"/><Relationship Id="rId425" Type="http://schemas.openxmlformats.org/officeDocument/2006/relationships/hyperlink" Target="https://www.dropbox.com/scl/fi/c88cux7ilypw5425u27ky/39793.pdf?rlkey=zxczld45hsgyr0vqrwzrc0bdi&amp;dl=0" TargetMode="External"/><Relationship Id="rId632" Type="http://schemas.openxmlformats.org/officeDocument/2006/relationships/hyperlink" Target="https://www.dropbox.com/scl/fi/cazited9rvljwy1z8t1d2/40244.pdf?rlkey=k8t750actqi3by4oexfglc0hr&amp;dl=0" TargetMode="External"/><Relationship Id="rId271" Type="http://schemas.openxmlformats.org/officeDocument/2006/relationships/hyperlink" Target="https://www.dropbox.com/scl/fi/nal6yxhjyod8q1dsxpz3f/39519.pdf?rlkey=15k3apyvzclkzxitnq3tuvtlw&amp;dl=0" TargetMode="External"/><Relationship Id="rId937" Type="http://schemas.openxmlformats.org/officeDocument/2006/relationships/hyperlink" Target="https://www.dropbox.com/scl/fi/374cyx8erussrjyex8wrr/41663.pdf?rlkey=ahhrawdyl768j9aqkmq8mvc3s&amp;dl=0" TargetMode="External"/><Relationship Id="rId66" Type="http://schemas.openxmlformats.org/officeDocument/2006/relationships/hyperlink" Target="https://www.dropbox.com/scl/fi/lvltjq2gs10vthebdbqm4/41054.pdf?rlkey=gzgqbknkm687rrvm0o4zp1w6q&amp;dl=0" TargetMode="External"/><Relationship Id="rId131" Type="http://schemas.openxmlformats.org/officeDocument/2006/relationships/hyperlink" Target="https://www.dropbox.com/scl/fi/1ih9fl5ely8g8bcchse1h/41085.pdf?rlkey=a00nkd4i1v6ov1r7a086ky2ar&amp;dl=0" TargetMode="External"/><Relationship Id="rId369" Type="http://schemas.openxmlformats.org/officeDocument/2006/relationships/hyperlink" Target="https://www.dropbox.com/scl/fi/rmn0tcah0uuhjal7dban5/39688.pdf?rlkey=xhj2hefwajiqw5f7m8vdno08e&amp;dl=0" TargetMode="External"/><Relationship Id="rId576" Type="http://schemas.openxmlformats.org/officeDocument/2006/relationships/hyperlink" Target="https://www.dropbox.com/scl/fi/sva1cq29qyh2gxdptr4k1/40090.pdf?rlkey=98t2fb7751iu16zlrga5rlxy2&amp;dl=0" TargetMode="External"/><Relationship Id="rId783" Type="http://schemas.openxmlformats.org/officeDocument/2006/relationships/hyperlink" Target="https://www.dropbox.com/scl/fi/0qpln79hiav4fpzt65e5s/40900.pdf?rlkey=fggnbddu889zs4jsfkckm5jt1&amp;dl=0" TargetMode="External"/><Relationship Id="rId229" Type="http://schemas.openxmlformats.org/officeDocument/2006/relationships/hyperlink" Target="https://www.dropbox.com/scl/fi/ogxnfomiidu9q0qhudrap/39459.pdf?rlkey=tn496pctqq1xwayhm45ftiblu&amp;dl=0" TargetMode="External"/><Relationship Id="rId436" Type="http://schemas.openxmlformats.org/officeDocument/2006/relationships/hyperlink" Target="https://www.dropbox.com/scl/fi/t40nbiktzzwtz3m6in911/39816.pdf?rlkey=fzaz4l7cwocooirwt6exl5zcj&amp;dl=0" TargetMode="External"/><Relationship Id="rId643" Type="http://schemas.openxmlformats.org/officeDocument/2006/relationships/hyperlink" Target="https://www.dropbox.com/scl/fi/m6ivqwf6j1vocakm90e2g/40255.pdf?rlkey=qep4y1bzm8m5h0bkh620wao9l&amp;dl=0" TargetMode="External"/><Relationship Id="rId850" Type="http://schemas.openxmlformats.org/officeDocument/2006/relationships/hyperlink" Target="https://www.dropbox.com/scl/fi/sc8avlmolw2dg2mqdgo13/41479.pdf?rlkey=xx90aaxc4fqoemgnheqv487mm&amp;dl=0" TargetMode="External"/><Relationship Id="rId948" Type="http://schemas.openxmlformats.org/officeDocument/2006/relationships/hyperlink" Target="https://www.dropbox.com/scl/fi/qpw79ywf40spbm8vffih1/41683.pdf?rlkey=sac9h6fqqv742tc3upc5fsjrs&amp;dl=0" TargetMode="External"/><Relationship Id="rId77" Type="http://schemas.openxmlformats.org/officeDocument/2006/relationships/hyperlink" Target="https://www.dropbox.com/scl/fi/qmaxgygpbji04cllidgzv/41112.pdf?rlkey=hai9i0ifegb8snpd91xg6q4ph&amp;dl=0" TargetMode="External"/><Relationship Id="rId282" Type="http://schemas.openxmlformats.org/officeDocument/2006/relationships/hyperlink" Target="https://www.dropbox.com/scl/fi/6xad9l96ngkw9qe0y9tf6/39543.pdf?rlkey=e55vuivzqxehi07k6zt54kncs&amp;dl=0" TargetMode="External"/><Relationship Id="rId503" Type="http://schemas.openxmlformats.org/officeDocument/2006/relationships/hyperlink" Target="https://www.dropbox.com/scl/fi/u7a3uzuks94s4sw2lw8j3/39937.pdf?rlkey=d4f1hlzsz7wyl31wk093f9vly&amp;dl=0" TargetMode="External"/><Relationship Id="rId587" Type="http://schemas.openxmlformats.org/officeDocument/2006/relationships/hyperlink" Target="https://www.dropbox.com/scl/fi/ljxfkmfkgia9da71xgoya/40107.pdf?rlkey=zb3uje7yck1lk1jlalix3ae9r&amp;dl=0" TargetMode="External"/><Relationship Id="rId710" Type="http://schemas.openxmlformats.org/officeDocument/2006/relationships/hyperlink" Target="https://www.dropbox.com/scl/fi/5knb7jx6nv3i083hf2an8/40414.pdf?rlkey=k06silb8oxidrw135t0wd9w3h&amp;dl=0" TargetMode="External"/><Relationship Id="rId808" Type="http://schemas.openxmlformats.org/officeDocument/2006/relationships/hyperlink" Target="https://www.dropbox.com/scl/fi/jrn90pykymy90mpcshunr/40956.pdf?rlkey=j4ejf7v0kjuepyuvnh7zva7cb&amp;dl=0" TargetMode="External"/><Relationship Id="rId8" Type="http://schemas.openxmlformats.org/officeDocument/2006/relationships/hyperlink" Target="https://www.dropbox.com/scl/fi/ywtdrryekjkb90zz2fzvp/41126.pdf?rlkey=881zobgdpp4iraerspinp5qbj&amp;dl=0" TargetMode="External"/><Relationship Id="rId142" Type="http://schemas.openxmlformats.org/officeDocument/2006/relationships/hyperlink" Target="https://www.dropbox.com/scl/fi/o6d19nh780znnzvpdjqgq/41157.pdf?rlkey=lhyuv7ybnha0ss7pxsosafz9o&amp;dl=0" TargetMode="External"/><Relationship Id="rId447" Type="http://schemas.openxmlformats.org/officeDocument/2006/relationships/hyperlink" Target="https://www.dropbox.com/scl/fi/i6og0fk2oles0viutwn06/39828.pdf?rlkey=8gnvm8xo8rche1nmzthi11wk1&amp;dl=0" TargetMode="External"/><Relationship Id="rId794" Type="http://schemas.openxmlformats.org/officeDocument/2006/relationships/hyperlink" Target="https://www.dropbox.com/scl/fi/vfuqznzwzyy5uel6ik9e2/40919.pdf?rlkey=il9b9b8c1a9x16jy487uvsfzm&amp;dl=0" TargetMode="External"/><Relationship Id="rId654" Type="http://schemas.openxmlformats.org/officeDocument/2006/relationships/hyperlink" Target="https://www.dropbox.com/scl/fi/pwc7d8udytyxlvdx6tbmx/40268.pdf?rlkey=io0fp8t8z1u4enp0tifuearw4&amp;dl=0" TargetMode="External"/><Relationship Id="rId861" Type="http://schemas.openxmlformats.org/officeDocument/2006/relationships/hyperlink" Target="https://www.dropbox.com/scl/fi/cqwrqnczftsmfsvbajmz4/41516.pdf?rlkey=1wflct17u5ncqskbhg0e1hxb0&amp;dl=0" TargetMode="External"/><Relationship Id="rId959" Type="http://schemas.openxmlformats.org/officeDocument/2006/relationships/hyperlink" Target="https://www.dropbox.com/scl/fi/9ngb4o8aa15i2ydvwp961/41698.pdf?rlkey=g2xxnsw0tre1ku809ijyo5wd8&amp;dl=0" TargetMode="External"/><Relationship Id="rId293" Type="http://schemas.openxmlformats.org/officeDocument/2006/relationships/hyperlink" Target="https://www.dropbox.com/scl/fi/5xo0rh8dj0axpne1m9bsa/39554.pdf?rlkey=rpnfy1pdjndp7ax733e7p69vu&amp;dl=0" TargetMode="External"/><Relationship Id="rId307" Type="http://schemas.openxmlformats.org/officeDocument/2006/relationships/hyperlink" Target="https://www.dropbox.com/scl/fi/fcsllsupj7mfez8l3mnzu/39573.pdf?rlkey=453flq03zad08jvlolnmhpaqp&amp;dl=0" TargetMode="External"/><Relationship Id="rId514" Type="http://schemas.openxmlformats.org/officeDocument/2006/relationships/hyperlink" Target="https://www.dropbox.com/scl/fi/opp8km9kpkvlslfwwhugl/39968.pdf?rlkey=76s2ekomy7g9iwj7rrfy7acwc&amp;dl=0" TargetMode="External"/><Relationship Id="rId721" Type="http://schemas.openxmlformats.org/officeDocument/2006/relationships/hyperlink" Target="https://www.dropbox.com/scl/fi/8uooultlpokcf9px3gig6/40468.pdf?rlkey=cjy4fd26ugho2wshjcze0ti9z&amp;dl=0" TargetMode="External"/><Relationship Id="rId88" Type="http://schemas.openxmlformats.org/officeDocument/2006/relationships/hyperlink" Target="https://www.dropbox.com/scl/fi/m33gdc3q6ubrqgxk4x6l5/41079.pdf?rlkey=xa8uofcmfz4frzks6zyb07dyt&amp;dl=0" TargetMode="External"/><Relationship Id="rId153" Type="http://schemas.openxmlformats.org/officeDocument/2006/relationships/hyperlink" Target="https://www.dropbox.com/scl/fi/93nvn05nc59xa5yusygmm/41188.pdf?rlkey=l4fnotfaf0t0utzf9s2wbyoih&amp;dl=0" TargetMode="External"/><Relationship Id="rId360" Type="http://schemas.openxmlformats.org/officeDocument/2006/relationships/hyperlink" Target="https://www.dropbox.com/scl/fi/ivrtjzjdqo8b8j2jiyxqb/39679.pdf?rlkey=k69r8u5844al1oq6mnjl9uy4k&amp;dl=0" TargetMode="External"/><Relationship Id="rId598" Type="http://schemas.openxmlformats.org/officeDocument/2006/relationships/hyperlink" Target="https://www.dropbox.com/scl/fi/ij8eam5hgwomj520n9muu/40136.pdf?rlkey=czvo9hbzcbs54btc6e874b7i3&amp;dl=0" TargetMode="External"/><Relationship Id="rId819" Type="http://schemas.openxmlformats.org/officeDocument/2006/relationships/hyperlink" Target="https://www.dropbox.com/scl/fi/935kp241rsf5ooc6mlimr/41003.pdf?rlkey=8mwxze7fllmu3emwiqqdrq0k8&amp;dl=0" TargetMode="External"/><Relationship Id="rId220" Type="http://schemas.openxmlformats.org/officeDocument/2006/relationships/hyperlink" Target="https://www.dropbox.com/scl/fi/t3de4y53bd14934zhwqec/39448.pdf?rlkey=saqrau6jyx2i4ftczi8mkw51y&amp;dl=0" TargetMode="External"/><Relationship Id="rId458" Type="http://schemas.openxmlformats.org/officeDocument/2006/relationships/hyperlink" Target="https://www.dropbox.com/scl/fi/60kxb47ovq7hxvmoznjra/39845.pdf?rlkey=pzvryjrt8owl7ehsmi8e1hie9&amp;dl=0" TargetMode="External"/><Relationship Id="rId665" Type="http://schemas.openxmlformats.org/officeDocument/2006/relationships/hyperlink" Target="https://www.dropbox.com/scl/fi/mo8fchcze7z53s03kfye8/40329.pdf?rlkey=qcy3y5178dd53tohc6xv2whj9&amp;dl=0" TargetMode="External"/><Relationship Id="rId872" Type="http://schemas.openxmlformats.org/officeDocument/2006/relationships/hyperlink" Target="https://www.dropbox.com/scl/fi/cbaypl6j0d7p1c4yv4fol/41538.pdf?rlkey=6xxylmq8mmtso2ntcoteszc1j&amp;dl=0" TargetMode="External"/><Relationship Id="rId15" Type="http://schemas.openxmlformats.org/officeDocument/2006/relationships/hyperlink" Target="https://www.dropbox.com/scl/fi/cu5q54ik6ig888ra8qb1s/41346.pdf?rlkey=it6e26qhey8obrcwi2wnvzizm&amp;dl=0" TargetMode="External"/><Relationship Id="rId318" Type="http://schemas.openxmlformats.org/officeDocument/2006/relationships/hyperlink" Target="https://www.dropbox.com/scl/fi/ysx0hyyx4rmkw9m53fobi/39588.pdf?rlkey=2gu0z60doodv1ch3mpeg9gwxl&amp;dl=0" TargetMode="External"/><Relationship Id="rId525" Type="http://schemas.openxmlformats.org/officeDocument/2006/relationships/hyperlink" Target="https://www.dropbox.com/scl/fi/3a2cg3j11yhvaaw2h3met/39982.pdf?rlkey=izuufspu56osp4dl3is2lmmks&amp;dl=0" TargetMode="External"/><Relationship Id="rId732" Type="http://schemas.openxmlformats.org/officeDocument/2006/relationships/hyperlink" Target="https://www.dropbox.com/scl/fi/x2besj56hukl2yc7kmj27/40500.pdf?rlkey=i0i4u0mutdl8uu0pdhr5reig1&amp;dl=0" TargetMode="External"/><Relationship Id="rId99" Type="http://schemas.openxmlformats.org/officeDocument/2006/relationships/hyperlink" Target="https://www.dropbox.com/scl/fi/50ilh5dd8ceffjwcg8ynh/41269.pdf?rlkey=m7grja3w3rjdujcnl0bwmcyzj&amp;dl=0" TargetMode="External"/><Relationship Id="rId164" Type="http://schemas.openxmlformats.org/officeDocument/2006/relationships/hyperlink" Target="https://www.dropbox.com/scl/fi/i55omco6ntpccvtjhy2ku/41221.pdf?rlkey=9fv3z3oidsv0ikq1oty9bi13l&amp;dl=0" TargetMode="External"/><Relationship Id="rId371" Type="http://schemas.openxmlformats.org/officeDocument/2006/relationships/hyperlink" Target="https://www.dropbox.com/scl/fi/ba0jfjwyjpqmvk9gkpmlp/39691.pdf?rlkey=o47vr5p6l154ifvmhtx0ne02d&amp;dl=0" TargetMode="External"/><Relationship Id="rId469" Type="http://schemas.openxmlformats.org/officeDocument/2006/relationships/hyperlink" Target="https://www.dropbox.com/scl/fi/qo7sqtiu4p91ipt2nbwvn/39870.pdf?rlkey=yif2mzcq28meof58euoehyyab&amp;dl=0" TargetMode="External"/><Relationship Id="rId676" Type="http://schemas.openxmlformats.org/officeDocument/2006/relationships/hyperlink" Target="https://www.dropbox.com/scl/fi/tdpfcwxswae478t4p7wms/40355.pdf?rlkey=al8d8fem1hb4l19r6a9tlpl6k&amp;dl=0" TargetMode="External"/><Relationship Id="rId883" Type="http://schemas.openxmlformats.org/officeDocument/2006/relationships/hyperlink" Target="https://www.dropbox.com/scl/fi/1ynqvkw7rzptj1huraq1h/41553.pdf?rlkey=f4cn7gb20ldl9c8hps67meqbw&amp;dl=0" TargetMode="External"/><Relationship Id="rId26" Type="http://schemas.openxmlformats.org/officeDocument/2006/relationships/hyperlink" Target="https://www.dropbox.com/scl/fi/tnk9qoqwud0820xpxu9xa/41234.pdf?rlkey=c20ne4pg3tren3hbf5xuwlmtz&amp;dl=0" TargetMode="External"/><Relationship Id="rId231" Type="http://schemas.openxmlformats.org/officeDocument/2006/relationships/hyperlink" Target="https://www.dropbox.com/scl/fi/9nbof9bnfmr1zvdazl1oj/39462.pdf?rlkey=dr6egxgs5rp159epsu2zpocm0&amp;dl=0" TargetMode="External"/><Relationship Id="rId329" Type="http://schemas.openxmlformats.org/officeDocument/2006/relationships/hyperlink" Target="https://www.dropbox.com/scl/fi/jj6tqbobfvnztk3rpaa68/39619.pdf?rlkey=aadqq6xqxtu8b124icw8vsw2i&amp;dl=0" TargetMode="External"/><Relationship Id="rId536" Type="http://schemas.openxmlformats.org/officeDocument/2006/relationships/hyperlink" Target="https://www.dropbox.com/scl/fi/srn59mvi7ene8uu8ywa1k/40011.pdf?rlkey=j3b3kx3vtdy127eysvl06ipig&amp;dl=0" TargetMode="External"/><Relationship Id="rId175" Type="http://schemas.openxmlformats.org/officeDocument/2006/relationships/hyperlink" Target="https://www.dropbox.com/scl/fi/txz868yzeo3llx50g3cxc/41292.pdf?rlkey=59po6wl1h6ngx6gpimqeoztix&amp;dl=0" TargetMode="External"/><Relationship Id="rId743" Type="http://schemas.openxmlformats.org/officeDocument/2006/relationships/hyperlink" Target="https://www.dropbox.com/scl/fi/oivei03f6dj94954y1xnc/40719.pdf?rlkey=lh4do8h1epqmtis0mpvpbwe1n&amp;dl=0" TargetMode="External"/><Relationship Id="rId950" Type="http://schemas.openxmlformats.org/officeDocument/2006/relationships/hyperlink" Target="https://www.dropbox.com/scl/fi/hulx0pm5ho5z9jxbm9wxd/41685.pdf?rlkey=50btuh329k46gkdzf2r18rhkb&amp;dl=0" TargetMode="External"/><Relationship Id="rId382" Type="http://schemas.openxmlformats.org/officeDocument/2006/relationships/hyperlink" Target="https://www.dropbox.com/scl/fi/tzemwczpe02b7idi3tj60/39706.pdf?rlkey=85p7fhgwdgr9osk8mdvju5159&amp;dl=0" TargetMode="External"/><Relationship Id="rId603" Type="http://schemas.openxmlformats.org/officeDocument/2006/relationships/hyperlink" Target="https://www.dropbox.com/scl/fi/xdoo0ngfye7kxuz3j46bo/40142.pdf?rlkey=52zewf3cnt40xw7l4oo7pk6vx&amp;dl=0" TargetMode="External"/><Relationship Id="rId687" Type="http://schemas.openxmlformats.org/officeDocument/2006/relationships/hyperlink" Target="https://www.dropbox.com/scl/fi/50vfjuxn90jw3playofi2/40383.pdf?rlkey=ra7k6jx5i2zifbg1diqclauoz&amp;dl=0" TargetMode="External"/><Relationship Id="rId810" Type="http://schemas.openxmlformats.org/officeDocument/2006/relationships/hyperlink" Target="https://www.dropbox.com/scl/fi/vcrfsby8x5mqqorsvd3st/40967.pdf?rlkey=wl9k4j05g3sot5za0jdr4sz58&amp;dl=0" TargetMode="External"/><Relationship Id="rId908" Type="http://schemas.openxmlformats.org/officeDocument/2006/relationships/hyperlink" Target="https://www.dropbox.com/scl/fi/6dv96n3m0qj1npw19xew0/41601.pdf?rlkey=0rpy8m059y090gdkdn6u5t44b&amp;dl=0" TargetMode="External"/><Relationship Id="rId242" Type="http://schemas.openxmlformats.org/officeDocument/2006/relationships/hyperlink" Target="https://www.dropbox.com/scl/fi/anl5uxujpntp3m8164jcn/39485.pdf?rlkey=erxjat0m9zvpbz4y1cfmilijh&amp;dl=0" TargetMode="External"/><Relationship Id="rId894" Type="http://schemas.openxmlformats.org/officeDocument/2006/relationships/hyperlink" Target="https://www.dropbox.com/scl/fi/ljvy5l6in7z7hnu6h9ea2/41570.pdf?rlkey=52kevwqk48o2c27kfp3es6u67&amp;dl=0" TargetMode="External"/><Relationship Id="rId37" Type="http://schemas.openxmlformats.org/officeDocument/2006/relationships/hyperlink" Target="https://www.dropbox.com/scl/fi/u6sa3faoo35wa9helsz42/41029.pdf?rlkey=mbmufzzafcxn0pwmmlp9f1kb1&amp;dl=0" TargetMode="External"/><Relationship Id="rId102" Type="http://schemas.openxmlformats.org/officeDocument/2006/relationships/hyperlink" Target="https://www.dropbox.com/scl/fi/enitxucn1kc8mz68etvp6/40449.pdf?rlkey=r60xe0ete20ntxg323fssj8op&amp;dl=0" TargetMode="External"/><Relationship Id="rId547" Type="http://schemas.openxmlformats.org/officeDocument/2006/relationships/hyperlink" Target="https://www.dropbox.com/scl/fi/335rwyqogq4aspvv1x7m0/40028.pdf?rlkey=1xoeaqoeaoaycrr1dki97953p&amp;dl=0" TargetMode="External"/><Relationship Id="rId754" Type="http://schemas.openxmlformats.org/officeDocument/2006/relationships/hyperlink" Target="https://www.dropbox.com/scl/fi/5a6ivwx4pxrsngx2xsbud/40760.pdf?rlkey=teakb8ebw8sw318rp3r8x831q&amp;dl=0" TargetMode="External"/><Relationship Id="rId961" Type="http://schemas.openxmlformats.org/officeDocument/2006/relationships/hyperlink" Target="https://www.dropbox.com/scl/fi/pssx59i3yxd9abppcpwn4/41700.pdf?rlkey=xzykky01wu1im60kz9xl6chwm&amp;dl=0" TargetMode="External"/><Relationship Id="rId90" Type="http://schemas.openxmlformats.org/officeDocument/2006/relationships/hyperlink" Target="https://www.dropbox.com/scl/fi/e1tj37e57b7jrz1tqvvhk/41309.pdf?rlkey=5bp00zufzizkakvaivlwc2arq&amp;dl=0" TargetMode="External"/><Relationship Id="rId186" Type="http://schemas.openxmlformats.org/officeDocument/2006/relationships/hyperlink" Target="https://www.dropbox.com/scl/fi/h3qlwkemi7fd72papw3b3/41318.pdf?rlkey=m4i67r47k4guyyeb4fwpgkgyt&amp;dl=0" TargetMode="External"/><Relationship Id="rId393" Type="http://schemas.openxmlformats.org/officeDocument/2006/relationships/hyperlink" Target="https://www.dropbox.com/scl/fi/rywqty5xaz4eo04h1xmai/39727.pdf?rlkey=5en1hy61rm690i7pocnlpuckp&amp;dl=0" TargetMode="External"/><Relationship Id="rId407" Type="http://schemas.openxmlformats.org/officeDocument/2006/relationships/hyperlink" Target="https://www.dropbox.com/scl/fi/zmsnx089f2v7vbiwelmfg/39764.pdf?rlkey=l13ta7t9zjnpxmjn0lxyrt4wk&amp;dl=0" TargetMode="External"/><Relationship Id="rId614" Type="http://schemas.openxmlformats.org/officeDocument/2006/relationships/hyperlink" Target="https://www.dropbox.com/scl/fi/2hknqlj89coegluyrkrtj/40158.pdf?rlkey=q8dfflgsf0e7nyqtkkbldzsej&amp;dl=0" TargetMode="External"/><Relationship Id="rId821" Type="http://schemas.openxmlformats.org/officeDocument/2006/relationships/hyperlink" Target="https://www.dropbox.com/scl/fi/7k64aijyq6k61ntgghts4/41053.pdf?rlkey=jnbli6s8k3nlyah99erws8j5e&amp;dl=0" TargetMode="External"/><Relationship Id="rId253" Type="http://schemas.openxmlformats.org/officeDocument/2006/relationships/hyperlink" Target="https://www.dropbox.com/scl/fi/20rr9z72kl9pcgin9wsf4/39497.pdf?rlkey=nc751vct1j36cepaf0sw5daci&amp;dl=0" TargetMode="External"/><Relationship Id="rId460" Type="http://schemas.openxmlformats.org/officeDocument/2006/relationships/hyperlink" Target="https://www.dropbox.com/scl/fi/r7s7irt17epadvf77pf5i/39847.pdf?rlkey=j7nfi6thg1beu38jbpjo5uk0d&amp;dl=0" TargetMode="External"/><Relationship Id="rId698" Type="http://schemas.openxmlformats.org/officeDocument/2006/relationships/hyperlink" Target="https://www.dropbox.com/scl/fi/tw4quwrt61q7e1efj53xe/40398.pdf?rlkey=t8lu0lf836glxpm1kcok0dmsu&amp;dl=0" TargetMode="External"/><Relationship Id="rId919" Type="http://schemas.openxmlformats.org/officeDocument/2006/relationships/hyperlink" Target="https://www.dropbox.com/scl/fi/4sw8lsvaoye427003tn78/41623.pdf?rlkey=nvjaufyg7e7brvh4bcrkgo5hb&amp;dl=0" TargetMode="External"/><Relationship Id="rId48" Type="http://schemas.openxmlformats.org/officeDocument/2006/relationships/hyperlink" Target="https://www.dropbox.com/scl/fi/duz22j8x0txyfey1l8dvv/41007.pdf?rlkey=1mx38n0tgjhgsmsrxkemf0jdy&amp;dl=0" TargetMode="External"/><Relationship Id="rId113" Type="http://schemas.openxmlformats.org/officeDocument/2006/relationships/hyperlink" Target="https://www.dropbox.com/scl/fi/nuz7zx2onhq3sy9oy5dcs/40817.pdf?rlkey=0nzlyhmgpz2omtd6n5o98hvs8&amp;dl=0" TargetMode="External"/><Relationship Id="rId320" Type="http://schemas.openxmlformats.org/officeDocument/2006/relationships/hyperlink" Target="https://www.dropbox.com/scl/fi/hnrx1fa0bpjv4nbueoalb/39590.pdf?rlkey=jb5wqx8b6qf5x9k2j3u8a9ien&amp;dl=0" TargetMode="External"/><Relationship Id="rId558" Type="http://schemas.openxmlformats.org/officeDocument/2006/relationships/hyperlink" Target="https://www.dropbox.com/scl/fi/hqvsutz85d3fam9eiz7jk/40063.pdf?rlkey=4rg0bnwknmn9461140f5sjutj&amp;dl=0" TargetMode="External"/><Relationship Id="rId765" Type="http://schemas.openxmlformats.org/officeDocument/2006/relationships/hyperlink" Target="https://www.dropbox.com/scl/fi/ca7peis0hca1w9iobv36n/40808.pdf?rlkey=qggz1x6pki8f6o6pajcspqgmj&amp;dl=0" TargetMode="External"/><Relationship Id="rId197" Type="http://schemas.openxmlformats.org/officeDocument/2006/relationships/hyperlink" Target="../../../../../Containers/com.microsoft.Excel/Data/Library/Application%20Support/01%202025/Dog/39409.pdf" TargetMode="External"/><Relationship Id="rId418" Type="http://schemas.openxmlformats.org/officeDocument/2006/relationships/hyperlink" Target="https://www.dropbox.com/scl/fi/bzy6s75rkl45ape8npq8s/39781.pdf?rlkey=ew3r9lz00or2ilqiz69g1paa9&amp;dl=0" TargetMode="External"/><Relationship Id="rId625" Type="http://schemas.openxmlformats.org/officeDocument/2006/relationships/hyperlink" Target="https://www.dropbox.com/scl/fi/ln7822lasqlblrskz6s1e/40177.pdf?rlkey=h8xnkutn5ddltgoncqe2i8ekj&amp;dl=0" TargetMode="External"/><Relationship Id="rId832" Type="http://schemas.openxmlformats.org/officeDocument/2006/relationships/hyperlink" Target="https://www.dropbox.com/scl/fi/kfvwr70s1joi80jyb2qpi/41423.pdf?rlkey=8q6735eaclm5j4g6ao1tj01l6&amp;dl=0" TargetMode="External"/><Relationship Id="rId264" Type="http://schemas.openxmlformats.org/officeDocument/2006/relationships/hyperlink" Target="https://www.dropbox.com/scl/fi/pkj7vtce3rp7783b4f9i1/39512.pdf?rlkey=pyetlywd7yer9pmxcw0khzxw7&amp;dl=0" TargetMode="External"/><Relationship Id="rId471" Type="http://schemas.openxmlformats.org/officeDocument/2006/relationships/hyperlink" Target="https://www.dropbox.com/scl/fi/34qwrn71t4ww7gqo0tnp7/39873.pdf?rlkey=zjkie1332bqt763hrb3f16lwz&amp;dl=0" TargetMode="External"/><Relationship Id="rId59" Type="http://schemas.openxmlformats.org/officeDocument/2006/relationships/hyperlink" Target="https://www.dropbox.com/scl/fi/cgu2d4g6wxf8fjsj8308o/41284.pdf?rlkey=qn38cyep5jln1ys0ovlb2xeck&amp;dl=0" TargetMode="External"/><Relationship Id="rId124" Type="http://schemas.openxmlformats.org/officeDocument/2006/relationships/hyperlink" Target="https://www.dropbox.com/scl/fi/w16iqe70l6embw0z54hkj/41046.pdf?rlkey=ilr15ga0xe1726pg7s21rti4n&amp;dl=0" TargetMode="External"/><Relationship Id="rId569" Type="http://schemas.openxmlformats.org/officeDocument/2006/relationships/hyperlink" Target="https://www.dropbox.com/scl/fi/dhoe63d2j70vr56e52lwi/40083.pdf?rlkey=vedt90mteskdrurq8zwo641pj&amp;dl=0" TargetMode="External"/><Relationship Id="rId776" Type="http://schemas.openxmlformats.org/officeDocument/2006/relationships/hyperlink" Target="https://www.dropbox.com/scl/fi/6f8z2gynb52d6j7tcbrc6/40876.pdf?rlkey=csrvpd7vng2mv2q9dwygirfgl&amp;dl=0" TargetMode="External"/><Relationship Id="rId331" Type="http://schemas.openxmlformats.org/officeDocument/2006/relationships/hyperlink" Target="https://www.dropbox.com/scl/fi/9fto201y9d5smvqq16m9g/39624.pdf?rlkey=zdhv0j9g2cgjcjbid1o11hp3s&amp;dl=0" TargetMode="External"/><Relationship Id="rId429" Type="http://schemas.openxmlformats.org/officeDocument/2006/relationships/hyperlink" Target="https://www.dropbox.com/scl/fi/z9hk49hss631aepi6mx7t/39797.pdf?rlkey=r9yjehmbvi7u4bvghv3y6969b&amp;dl=0" TargetMode="External"/><Relationship Id="rId636" Type="http://schemas.openxmlformats.org/officeDocument/2006/relationships/hyperlink" Target="https://www.dropbox.com/scl/fi/kk6yy5gw21m45pafzrayv/40248.pdf?rlkey=qw88hgrnmmqcbsp0p1rvc3pwr&amp;dl=0" TargetMode="External"/><Relationship Id="rId843" Type="http://schemas.openxmlformats.org/officeDocument/2006/relationships/hyperlink" Target="https://www.dropbox.com/scl/fi/an3s6jbitrxlnb4om2pce/41453.pdf?rlkey=mbbfzlokbgrqevqtizev28f55&amp;dl=0" TargetMode="External"/><Relationship Id="rId275" Type="http://schemas.openxmlformats.org/officeDocument/2006/relationships/hyperlink" Target="https://www.dropbox.com/scl/fi/j647jwh0tdsemee2zyazf/39533.pdf?rlkey=ycy8fkmafwyi5z87cr5ozeoun&amp;dl=0" TargetMode="External"/><Relationship Id="rId482" Type="http://schemas.openxmlformats.org/officeDocument/2006/relationships/hyperlink" Target="https://www.dropbox.com/scl/fi/n9dw58dy3pd20706cgmp4/39889.pdf?rlkey=54t4r0v9x46kzchlqzngg4mkk&amp;dl=0" TargetMode="External"/><Relationship Id="rId703" Type="http://schemas.openxmlformats.org/officeDocument/2006/relationships/hyperlink" Target="https://www.dropbox.com/scl/fi/3ogusbyb2daw3eu31rgoh/40407.pdf?rlkey=duek58u4xsy34kbiktiuf7yyh&amp;dl=0" TargetMode="External"/><Relationship Id="rId910" Type="http://schemas.openxmlformats.org/officeDocument/2006/relationships/hyperlink" Target="https://www.dropbox.com/scl/fi/izw6nhq6nr2gcxjuwr5zf/41603.pdf?rlkey=bf3e5yd8f12pm4u2agtvzslri&amp;dl=0" TargetMode="External"/><Relationship Id="rId135" Type="http://schemas.openxmlformats.org/officeDocument/2006/relationships/hyperlink" Target="https://www.dropbox.com/scl/fi/iv0707wxscy11fxmw6y72/41123.pdf?rlkey=cxct8hbf9bsuggp1zfzp7x9dr&amp;dl=0" TargetMode="External"/><Relationship Id="rId342" Type="http://schemas.openxmlformats.org/officeDocument/2006/relationships/hyperlink" Target="https://www.dropbox.com/scl/fi/0yfkdnhv4rzk930nrv6ph/39645.pdf?rlkey=xtkhxgf0vjc891lgxqjjffbu8&amp;dl=0" TargetMode="External"/><Relationship Id="rId787" Type="http://schemas.openxmlformats.org/officeDocument/2006/relationships/hyperlink" Target="https://www.dropbox.com/scl/fi/29n07fpgz4zrhx7kx1kn9/40905.pdf?rlkey=z7y6phiguv1yf863jqfw3hebv&amp;dl=0" TargetMode="External"/><Relationship Id="rId202" Type="http://schemas.openxmlformats.org/officeDocument/2006/relationships/hyperlink" Target="https://www.dropbox.com/scl/fi/6b3hgqas0u1wftlh89vfg/39415.pdf?rlkey=uxcuav87og9ctd2vcdhyisiva&amp;dl=0" TargetMode="External"/><Relationship Id="rId647" Type="http://schemas.openxmlformats.org/officeDocument/2006/relationships/hyperlink" Target="https://www.dropbox.com/scl/fi/nom2fws88r5ujy78s2qk6/40259.pdf?rlkey=3bns7wy3ro79haa2ljtwgwstc&amp;dl=0" TargetMode="External"/><Relationship Id="rId854" Type="http://schemas.openxmlformats.org/officeDocument/2006/relationships/hyperlink" Target="https://www.dropbox.com/scl/fi/elmfdvtfrc23d4x0lr4jx/41497.pdf?rlkey=rlfu6lxrqyukvr7g6w5173n1y&amp;dl=0" TargetMode="External"/><Relationship Id="rId286" Type="http://schemas.openxmlformats.org/officeDocument/2006/relationships/hyperlink" Target="https://www.dropbox.com/scl/fi/yt0q0bnn5ilse4dj3nh2n/39547.pdf?rlkey=8z9fdkblg4sl3zvf8ofoc7wvd&amp;dl=0" TargetMode="External"/><Relationship Id="rId493" Type="http://schemas.openxmlformats.org/officeDocument/2006/relationships/hyperlink" Target="https://www.dropbox.com/scl/fi/kkinx6g3e1w35oz9p4zir/39914.pdf?rlkey=mpkhjlq5tzu9gfyb7ekym2xyk&amp;dl=0" TargetMode="External"/><Relationship Id="rId507" Type="http://schemas.openxmlformats.org/officeDocument/2006/relationships/hyperlink" Target="https://www.dropbox.com/scl/fi/m89vi63rptv5amyrj8ovt/39942.pdf?rlkey=5kf4em8vucygavrdfjflvzstr&amp;dl=0" TargetMode="External"/><Relationship Id="rId714" Type="http://schemas.openxmlformats.org/officeDocument/2006/relationships/hyperlink" Target="https://www.dropbox.com/scl/fi/k37ffc1riwrdixqmjm9my/40445.pdf?rlkey=udlelh4uyruh1inpp4cidrt0y&amp;dl=0" TargetMode="External"/><Relationship Id="rId921" Type="http://schemas.openxmlformats.org/officeDocument/2006/relationships/hyperlink" Target="https://www.dropbox.com/scl/fi/y5rzrevxpuzhgk5apkxv0/41633.pdf?rlkey=nu7pabfflktidacmw3s2kftaq&amp;dl=0" TargetMode="External"/><Relationship Id="rId50" Type="http://schemas.openxmlformats.org/officeDocument/2006/relationships/hyperlink" Target="https://www.dropbox.com/scl/fi/zh9zg51zerd3x09czkfwe/41064.pdf?rlkey=bjfb46xl8qbm8g7lfknydbom1&amp;dl=0" TargetMode="External"/><Relationship Id="rId146" Type="http://schemas.openxmlformats.org/officeDocument/2006/relationships/hyperlink" Target="https://www.dropbox.com/scl/fi/z4ef5e645rvnfwtihtekr/41170.pdf?rlkey=4rdfdk0v63cmobhpfat191tkc&amp;dl=0" TargetMode="External"/><Relationship Id="rId353" Type="http://schemas.openxmlformats.org/officeDocument/2006/relationships/hyperlink" Target="https://www.dropbox.com/scl/fi/1cg9s814yl7o7dlf31qzh/39665.pdf?rlkey=ilr7c24853rsl0ekpdn5re8ky&amp;dl=0" TargetMode="External"/><Relationship Id="rId560" Type="http://schemas.openxmlformats.org/officeDocument/2006/relationships/hyperlink" Target="https://www.dropbox.com/scl/fi/9d56w0gf5xgxp318j90vw/40069.pdf?rlkey=dasnuj69kni4vcl123r8qkewx&amp;dl=0" TargetMode="External"/><Relationship Id="rId798" Type="http://schemas.openxmlformats.org/officeDocument/2006/relationships/hyperlink" Target="https://www.dropbox.com/scl/fi/b1v9nma5bn3um17vhsj5y/40924.pdf?rlkey=suu0r4adzvyv22fm13ipfjfhg&amp;dl=0" TargetMode="External"/><Relationship Id="rId213" Type="http://schemas.openxmlformats.org/officeDocument/2006/relationships/hyperlink" Target="https://www.dropbox.com/scl/fi/t85mv2bshwmm9ho9e1aqg/39432.pdf?rlkey=p9bg3kb5kxdnyata5ioejnd0o&amp;dl=0" TargetMode="External"/><Relationship Id="rId420" Type="http://schemas.openxmlformats.org/officeDocument/2006/relationships/hyperlink" Target="https://www.dropbox.com/scl/fi/rdsnblns65kot2dllpkjj/39783.pdf?rlkey=gva7yx5hf6hirz9lcea85w0wg&amp;dl=0" TargetMode="External"/><Relationship Id="rId658" Type="http://schemas.openxmlformats.org/officeDocument/2006/relationships/hyperlink" Target="https://www.dropbox.com/scl/fi/kd0xvye2p4feayzxq06wm/40282.pdf?rlkey=h5gwmoto605ot3hie7ifcue4g&amp;dl=0" TargetMode="External"/><Relationship Id="rId865" Type="http://schemas.openxmlformats.org/officeDocument/2006/relationships/hyperlink" Target="https://www.dropbox.com/scl/fi/10t18sj56rqkww14qy3xy/41527.pdf?rlkey=jq1cz38lteeghgf1ftny68dlg&amp;dl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10918-5822-5241-A3D7-AFE4764D839E}">
  <dimension ref="A1:T196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6" x14ac:dyDescent="0.2"/>
  <cols>
    <col min="1" max="1" width="9.1640625" style="1" customWidth="1"/>
    <col min="2" max="2" width="21" style="2" customWidth="1"/>
    <col min="3" max="3" width="19.6640625" customWidth="1"/>
    <col min="4" max="4" width="24.6640625" customWidth="1"/>
    <col min="5" max="5" width="13.5" style="2" customWidth="1"/>
    <col min="6" max="6" width="12.5" style="2" customWidth="1"/>
    <col min="7" max="7" width="14.1640625" style="2" customWidth="1"/>
    <col min="8" max="8" width="13.5" style="5" customWidth="1"/>
    <col min="9" max="9" width="16.83203125" style="5" customWidth="1"/>
    <col min="10" max="10" width="19.1640625" customWidth="1"/>
    <col min="11" max="11" width="15.5" customWidth="1"/>
    <col min="12" max="12" width="16.6640625" customWidth="1"/>
    <col min="14" max="14" width="3.6640625" customWidth="1"/>
    <col min="15" max="15" width="19.1640625" customWidth="1"/>
    <col min="18" max="18" width="3.83203125" customWidth="1"/>
  </cols>
  <sheetData>
    <row r="1" spans="1:20" x14ac:dyDescent="0.2">
      <c r="A1" s="36" t="s">
        <v>6</v>
      </c>
      <c r="B1" s="38" t="s">
        <v>42</v>
      </c>
      <c r="C1" s="36" t="s">
        <v>1</v>
      </c>
      <c r="D1" s="7"/>
      <c r="E1" s="38" t="s">
        <v>2</v>
      </c>
      <c r="F1" s="38" t="s">
        <v>176</v>
      </c>
      <c r="G1" s="38" t="s">
        <v>3</v>
      </c>
      <c r="H1" s="35" t="s">
        <v>178</v>
      </c>
      <c r="I1" s="35"/>
      <c r="J1" s="36" t="s">
        <v>4</v>
      </c>
      <c r="K1" s="36" t="s">
        <v>12</v>
      </c>
      <c r="L1" s="37" t="s">
        <v>5</v>
      </c>
    </row>
    <row r="2" spans="1:20" x14ac:dyDescent="0.2">
      <c r="A2" s="36"/>
      <c r="B2" s="38"/>
      <c r="C2" s="36"/>
      <c r="D2" s="7"/>
      <c r="E2" s="38"/>
      <c r="F2" s="38"/>
      <c r="G2" s="38"/>
      <c r="H2" s="6" t="s">
        <v>201</v>
      </c>
      <c r="I2" s="6" t="s">
        <v>202</v>
      </c>
      <c r="J2" s="36"/>
      <c r="K2" s="36"/>
      <c r="L2" s="37"/>
    </row>
    <row r="3" spans="1:20" x14ac:dyDescent="0.2">
      <c r="A3" s="3"/>
      <c r="F3" s="2" t="e" cm="1">
        <f t="array" ref="F3">_xlfn.IFS(B3="Owner Surrender",E3,B3="Stray",E3+6,B3="Stray w/identification",E3+11,B3="Bite",E3+10,B3="Other",E3+30,B3="BAS",E3+56,B3="Seized",E3)</f>
        <v>#N/A</v>
      </c>
      <c r="H3" s="5">
        <f t="shared" ref="H3:H58" si="0">+G3-E3</f>
        <v>0</v>
      </c>
      <c r="I3" s="5" t="e">
        <f>G3-F3</f>
        <v>#N/A</v>
      </c>
      <c r="J3" s="2"/>
      <c r="K3" s="2"/>
      <c r="L3" s="2"/>
    </row>
    <row r="4" spans="1:20" x14ac:dyDescent="0.2">
      <c r="A4" s="3"/>
      <c r="F4" s="2" t="e" cm="1">
        <f t="array" ref="F4">_xlfn.IFS(B4="Owner Surrender",E4,B4="Stray",E4+6,B4="Stray w/identification",E4+11,B4="Bite",E4+10,B4="Other",E4+30,B4="BAS",E4+56,B4="Seized",E4)</f>
        <v>#N/A</v>
      </c>
      <c r="H4" s="5">
        <f t="shared" si="0"/>
        <v>0</v>
      </c>
      <c r="I4" s="5" t="e">
        <f t="shared" ref="I4:I67" si="1">G4-F4</f>
        <v>#N/A</v>
      </c>
      <c r="J4" s="2"/>
      <c r="N4" s="8" t="s">
        <v>11</v>
      </c>
      <c r="O4" s="8"/>
      <c r="P4" s="8"/>
      <c r="R4" s="8" t="s">
        <v>11</v>
      </c>
      <c r="S4" s="8"/>
      <c r="T4" s="8"/>
    </row>
    <row r="5" spans="1:20" x14ac:dyDescent="0.2">
      <c r="A5" s="3"/>
      <c r="F5" s="2" t="e" cm="1">
        <f t="array" ref="F5">_xlfn.IFS(B5="Owner Surrender",E5,B5="Stray",E5+6,B5="Stray w/identification",E5+11,B5="Bite",E5+10,B5="Other",E5+30,B5="BAS",E5+56,B5="Seized",E5)</f>
        <v>#N/A</v>
      </c>
      <c r="H5" s="5">
        <f t="shared" si="0"/>
        <v>0</v>
      </c>
      <c r="I5" s="5" t="e">
        <f t="shared" si="1"/>
        <v>#N/A</v>
      </c>
      <c r="J5" s="2"/>
      <c r="O5" s="4" t="s">
        <v>36</v>
      </c>
      <c r="P5" s="4">
        <f>COUNTIFS($J$3:$J$300,"Adopted",$B$3:$B$300,"Owner Surrender")</f>
        <v>0</v>
      </c>
      <c r="S5" s="4" t="s">
        <v>208</v>
      </c>
      <c r="T5" s="4">
        <f>COUNTIFS($J$3:$J$300,"Adopted",$D$3:$D$300,"0-6 months")</f>
        <v>0</v>
      </c>
    </row>
    <row r="6" spans="1:20" x14ac:dyDescent="0.2">
      <c r="A6" s="3"/>
      <c r="F6" s="2" t="e" cm="1">
        <f t="array" ref="F6">_xlfn.IFS(B6="Owner Surrender",E6,B6="Stray",E6+6,B6="Stray w/identification",E6+11,B6="Bite",E6+10,B6="Other",E6+30,B6="BAS",E6+56,B6="Seized",E6)</f>
        <v>#N/A</v>
      </c>
      <c r="H6" s="5">
        <f t="shared" si="0"/>
        <v>0</v>
      </c>
      <c r="I6" s="5" t="e">
        <f t="shared" si="1"/>
        <v>#N/A</v>
      </c>
      <c r="J6" s="2"/>
      <c r="O6" s="4" t="s">
        <v>38</v>
      </c>
      <c r="P6" s="4">
        <f>COUNTIFS($J$3:$J$301,"Adopted",$B$3:$B$301,"Stray")</f>
        <v>0</v>
      </c>
      <c r="S6" s="4" t="s">
        <v>209</v>
      </c>
      <c r="T6" s="4">
        <f>COUNTIFS($J$3:$J$300,"Adopted",$D$3:$D$300,"6-12 months")</f>
        <v>0</v>
      </c>
    </row>
    <row r="7" spans="1:20" x14ac:dyDescent="0.2">
      <c r="A7" s="3"/>
      <c r="F7" s="2" t="e" cm="1">
        <f t="array" ref="F7">_xlfn.IFS(B7="Owner Surrender",E7,B7="Stray",E7+6,B7="Stray w/identification",E7+11,B7="Bite",E7+10,B7="Other",E7+30,B7="BAS",E7+56,B7="Seized",E7)</f>
        <v>#N/A</v>
      </c>
      <c r="H7" s="5">
        <f t="shared" si="0"/>
        <v>0</v>
      </c>
      <c r="I7" s="5" t="e">
        <f t="shared" si="1"/>
        <v>#N/A</v>
      </c>
      <c r="J7" s="2"/>
      <c r="O7" s="4" t="s">
        <v>203</v>
      </c>
      <c r="P7" s="4">
        <f>COUNTIFS($J$3:$J$302,"Adopted",$B$3:$B$302,"Stray w/identification")</f>
        <v>0</v>
      </c>
      <c r="S7" s="4" t="s">
        <v>207</v>
      </c>
      <c r="T7" s="4">
        <f>COUNTIFS($J$3:$J$300,"Adopted",$D$3:$D$300,"Adult")</f>
        <v>0</v>
      </c>
    </row>
    <row r="8" spans="1:20" x14ac:dyDescent="0.2">
      <c r="A8" s="3"/>
      <c r="F8" s="2" t="e" cm="1">
        <f t="array" ref="F8">_xlfn.IFS(B8="Owner Surrender",E8,B8="Stray",E8+6,B8="Stray w/identification",E8+11,B8="Bite",E8+10,B8="Other",E8+30,B8="BAS",E8+56,B8="Seized",E8)</f>
        <v>#N/A</v>
      </c>
      <c r="H8" s="5">
        <f t="shared" si="0"/>
        <v>0</v>
      </c>
      <c r="I8" s="5" t="e">
        <f t="shared" si="1"/>
        <v>#N/A</v>
      </c>
      <c r="J8" s="2"/>
      <c r="O8" s="4" t="s">
        <v>52</v>
      </c>
      <c r="P8" s="4">
        <f>COUNTIFS($J$3:$J$302,"Adopted",$B$3:$B$302,"Seized")</f>
        <v>0</v>
      </c>
      <c r="S8" s="4" t="s">
        <v>210</v>
      </c>
      <c r="T8" s="4">
        <f>COUNTIFS($J$3:$J$300,"Adopted",$D$3:$D$300,"Senior")</f>
        <v>0</v>
      </c>
    </row>
    <row r="9" spans="1:20" x14ac:dyDescent="0.2">
      <c r="A9" s="3"/>
      <c r="F9" s="2" t="e" cm="1">
        <f t="array" ref="F9">_xlfn.IFS(B9="Owner Surrender",E9,B9="Stray",E9+6,B9="Stray w/identification",E9+11,B9="Bite",E9+10,B9="Other",E9+30,B9="BAS",E9+56,B9="Seized",E9)</f>
        <v>#N/A</v>
      </c>
      <c r="H9" s="5">
        <f t="shared" si="0"/>
        <v>0</v>
      </c>
      <c r="I9" s="5" t="e">
        <f t="shared" si="1"/>
        <v>#N/A</v>
      </c>
      <c r="J9" s="2"/>
      <c r="O9" s="4" t="s">
        <v>60</v>
      </c>
      <c r="P9" s="4">
        <f>COUNTIFS($J$3:$J$302,"Adopted",$B$3:$B$302,"Other")</f>
        <v>0</v>
      </c>
      <c r="R9" s="8" t="s">
        <v>18</v>
      </c>
      <c r="S9" s="8"/>
      <c r="T9" s="8"/>
    </row>
    <row r="10" spans="1:20" x14ac:dyDescent="0.2">
      <c r="A10" s="3"/>
      <c r="F10" s="2" t="e" cm="1">
        <f t="array" ref="F10">_xlfn.IFS(B10="Owner Surrender",E10,B10="Stray",E10+6,B10="Stray w/identification",E10+11,B10="Bite",E10+10,B10="Other",E10+30,B10="BAS",E10+56,B10="Seized",E10)</f>
        <v>#N/A</v>
      </c>
      <c r="H10" s="5">
        <f t="shared" si="0"/>
        <v>0</v>
      </c>
      <c r="I10" s="5" t="e">
        <f t="shared" si="1"/>
        <v>#N/A</v>
      </c>
      <c r="J10" s="2"/>
      <c r="O10" s="4" t="s">
        <v>204</v>
      </c>
      <c r="P10" s="4">
        <f>COUNTIFS($J$3:$J$302,"Adopted",$B$3:$B$302,"BAS")</f>
        <v>0</v>
      </c>
      <c r="S10" s="4" t="s">
        <v>208</v>
      </c>
      <c r="T10" s="4">
        <f>COUNTIFS($J$3:$J$300,"Transferred",$D$3:$D$300,"0-6 months")</f>
        <v>0</v>
      </c>
    </row>
    <row r="11" spans="1:20" x14ac:dyDescent="0.2">
      <c r="A11" s="3"/>
      <c r="F11" s="2" t="e" cm="1">
        <f t="array" ref="F11">_xlfn.IFS(B11="Owner Surrender",E11,B11="Stray",E11+6,B11="Stray w/identification",E11+11,B11="Bite",E11+10,B11="Other",E11+30,B11="BAS",E11+56,B11="Seized",E11)</f>
        <v>#N/A</v>
      </c>
      <c r="H11" s="5">
        <f t="shared" si="0"/>
        <v>0</v>
      </c>
      <c r="I11" s="5" t="e">
        <f t="shared" si="1"/>
        <v>#N/A</v>
      </c>
      <c r="J11" s="2"/>
      <c r="O11" s="4" t="s">
        <v>41</v>
      </c>
      <c r="P11" s="4">
        <f>COUNTIFS($J$3:$J$302,"Adopted",$B$3:$B$302,"Bite")</f>
        <v>0</v>
      </c>
      <c r="S11" s="4" t="s">
        <v>209</v>
      </c>
      <c r="T11" s="4">
        <f>COUNTIFS($J$3:$J$300,"Transferred",$D$3:$D$300,"6-12 months")</f>
        <v>0</v>
      </c>
    </row>
    <row r="12" spans="1:20" x14ac:dyDescent="0.2">
      <c r="A12" s="3"/>
      <c r="F12" s="2" t="e" cm="1">
        <f t="array" ref="F12">_xlfn.IFS(B12="Owner Surrender",E12,B12="Stray",E12+6,B12="Stray w/identification",E12+11,B12="Bite",E12+10,B12="Other",E12+30,B12="BAS",E12+56,B12="Seized",E12)</f>
        <v>#N/A</v>
      </c>
      <c r="H12" s="5">
        <f t="shared" si="0"/>
        <v>0</v>
      </c>
      <c r="I12" s="5" t="e">
        <f t="shared" si="1"/>
        <v>#N/A</v>
      </c>
      <c r="J12" s="2"/>
      <c r="K12" s="2"/>
      <c r="L12" s="2"/>
      <c r="N12" s="8" t="s">
        <v>18</v>
      </c>
      <c r="O12" s="8"/>
      <c r="P12" s="8"/>
      <c r="S12" s="4" t="s">
        <v>207</v>
      </c>
      <c r="T12" s="4">
        <f>COUNTIFS($J$3:$J$300,"Transferred",$D$3:$D$300,"Adult")</f>
        <v>0</v>
      </c>
    </row>
    <row r="13" spans="1:20" x14ac:dyDescent="0.2">
      <c r="A13" s="3"/>
      <c r="F13" s="2" t="e" cm="1">
        <f t="array" ref="F13">_xlfn.IFS(B13="Owner Surrender",E13,B13="Stray",E13+6,B13="Stray w/identification",E13+11,B13="Bite",E13+10,B13="Other",E13+30,B13="BAS",E13+56,B13="Seized",E13)</f>
        <v>#N/A</v>
      </c>
      <c r="H13" s="5">
        <f t="shared" si="0"/>
        <v>0</v>
      </c>
      <c r="I13" s="5" t="e">
        <f t="shared" si="1"/>
        <v>#N/A</v>
      </c>
      <c r="J13" s="2"/>
      <c r="K13" s="2"/>
      <c r="O13" s="4" t="s">
        <v>36</v>
      </c>
      <c r="P13" s="4">
        <f>COUNTIFS($J$3:$J$304,"Transferred",$B$3:$B$304,"Owner Surrender")</f>
        <v>0</v>
      </c>
      <c r="S13" s="4" t="s">
        <v>210</v>
      </c>
      <c r="T13" s="4">
        <f>COUNTIFS($J$3:$J$300,"Transferred",$D$3:$D$300,"Senior")</f>
        <v>0</v>
      </c>
    </row>
    <row r="14" spans="1:20" x14ac:dyDescent="0.2">
      <c r="A14" s="3"/>
      <c r="F14" s="2" t="e" cm="1">
        <f t="array" ref="F14">_xlfn.IFS(B14="Owner Surrender",E14,B14="Stray",E14+6,B14="Stray w/identification",E14+11,B14="Bite",E14+10,B14="Other",E14+30,B14="BAS",E14+56,B14="Seized",E14)</f>
        <v>#N/A</v>
      </c>
      <c r="H14" s="5">
        <f t="shared" si="0"/>
        <v>0</v>
      </c>
      <c r="I14" s="5" t="e">
        <f t="shared" si="1"/>
        <v>#N/A</v>
      </c>
      <c r="J14" s="2"/>
      <c r="O14" s="4" t="s">
        <v>38</v>
      </c>
      <c r="P14" s="4">
        <f>COUNTIFS(J3:J305,"Transferred",$B$3:$B$305,"Stray")</f>
        <v>0</v>
      </c>
      <c r="R14" s="8" t="s">
        <v>31</v>
      </c>
      <c r="S14" s="8"/>
      <c r="T14" s="8"/>
    </row>
    <row r="15" spans="1:20" x14ac:dyDescent="0.2">
      <c r="A15" s="3"/>
      <c r="F15" s="2" t="e" cm="1">
        <f t="array" ref="F15">_xlfn.IFS(B15="Owner Surrender",E15,B15="Stray",E15+6,B15="Stray w/identification",E15+11,B15="Bite",E15+10,B15="Other",E15+30,B15="BAS",E15+56,B15="Seized",E15)</f>
        <v>#N/A</v>
      </c>
      <c r="H15" s="5">
        <f t="shared" si="0"/>
        <v>0</v>
      </c>
      <c r="I15" s="5" t="e">
        <f t="shared" si="1"/>
        <v>#N/A</v>
      </c>
      <c r="J15" s="2"/>
      <c r="O15" s="4" t="s">
        <v>203</v>
      </c>
      <c r="P15" s="4">
        <f>COUNTIFS($J$3:$J$308,"Transferred",$B$3:$B$308,"Stray w/identification")</f>
        <v>0</v>
      </c>
      <c r="S15" s="4" t="s">
        <v>208</v>
      </c>
      <c r="T15" s="4">
        <f>COUNTIFS($J$3:$J$300,"Euthanized",$D$3:$D$300,"0-6 months")</f>
        <v>0</v>
      </c>
    </row>
    <row r="16" spans="1:20" x14ac:dyDescent="0.2">
      <c r="A16" s="3"/>
      <c r="F16" s="2" t="e" cm="1">
        <f t="array" ref="F16">_xlfn.IFS(B16="Owner Surrender",E16,B16="Stray",E16+6,B16="Stray w/identification",E16+11,B16="Bite",E16+10,B16="Other",E16+30,B16="BAS",E16+56,B16="Seized",E16)</f>
        <v>#N/A</v>
      </c>
      <c r="H16" s="5">
        <f t="shared" si="0"/>
        <v>0</v>
      </c>
      <c r="I16" s="5" t="e">
        <f t="shared" si="1"/>
        <v>#N/A</v>
      </c>
      <c r="J16" s="2"/>
      <c r="O16" s="4" t="s">
        <v>52</v>
      </c>
      <c r="P16" s="4">
        <f>COUNTIFS($J$3:$J$306,"Transferred",$B$3:$B$306,"Seized")</f>
        <v>0</v>
      </c>
      <c r="S16" s="4" t="s">
        <v>209</v>
      </c>
      <c r="T16" s="4">
        <f>COUNTIFS($J$3:$J$300,"Euthanized",$D$3:$D$300,"6-12 months")</f>
        <v>0</v>
      </c>
    </row>
    <row r="17" spans="1:20" x14ac:dyDescent="0.2">
      <c r="A17" s="3"/>
      <c r="F17" s="2" t="e" cm="1">
        <f t="array" ref="F17">_xlfn.IFS(B17="Owner Surrender",E17,B17="Stray",E17+6,B17="Stray w/identification",E17+11,B17="Bite",E17+10,B17="Other",E17+30,B17="BAS",E17+56,B17="Seized",E17)</f>
        <v>#N/A</v>
      </c>
      <c r="H17" s="5">
        <f t="shared" si="0"/>
        <v>0</v>
      </c>
      <c r="I17" s="5" t="e">
        <f t="shared" si="1"/>
        <v>#N/A</v>
      </c>
      <c r="J17" s="2"/>
      <c r="O17" s="4" t="s">
        <v>60</v>
      </c>
      <c r="P17" s="4">
        <f>COUNTIFS($J$3:$J$306,"Transferred",$B$3:$B$306,"Other")</f>
        <v>0</v>
      </c>
      <c r="S17" s="4" t="s">
        <v>207</v>
      </c>
      <c r="T17" s="4">
        <f>COUNTIFS($J$3:$J$300,"Euthanized",$D$3:$D$300,"Adult")</f>
        <v>0</v>
      </c>
    </row>
    <row r="18" spans="1:20" x14ac:dyDescent="0.2">
      <c r="A18" s="3"/>
      <c r="F18" s="2" t="e" cm="1">
        <f t="array" ref="F18">_xlfn.IFS(B18="Owner Surrender",E18,B18="Stray",E18+6,B18="Stray w/identification",E18+11,B18="Bite",E18+10,B18="Other",E18+30,B18="BAS",E18+56,B18="Seized",E18)</f>
        <v>#N/A</v>
      </c>
      <c r="H18" s="5">
        <f t="shared" si="0"/>
        <v>0</v>
      </c>
      <c r="I18" s="5" t="e">
        <f t="shared" si="1"/>
        <v>#N/A</v>
      </c>
      <c r="J18" s="2"/>
      <c r="O18" s="4" t="s">
        <v>204</v>
      </c>
      <c r="P18" s="4">
        <f>COUNTIFS($J$3:$J$306,"Transferred",$B$3:$B$306,"BAS")</f>
        <v>0</v>
      </c>
      <c r="S18" s="4" t="s">
        <v>210</v>
      </c>
      <c r="T18" s="4">
        <f>COUNTIFS($J$3:$J$300,"Euthanized",$D$3:$D$300,"Senior")</f>
        <v>0</v>
      </c>
    </row>
    <row r="19" spans="1:20" x14ac:dyDescent="0.2">
      <c r="A19" s="3"/>
      <c r="F19" s="2" t="e" cm="1">
        <f t="array" ref="F19">_xlfn.IFS(B19="Owner Surrender",E19,B19="Stray",E19+6,B19="Stray w/identification",E19+11,B19="Bite",E19+10,B19="Other",E19+30,B19="BAS",E19+56,B19="Seized",E19)</f>
        <v>#N/A</v>
      </c>
      <c r="H19" s="5">
        <f t="shared" si="0"/>
        <v>0</v>
      </c>
      <c r="I19" s="5" t="e">
        <f t="shared" si="1"/>
        <v>#N/A</v>
      </c>
      <c r="J19" s="2"/>
      <c r="O19" s="4" t="s">
        <v>41</v>
      </c>
      <c r="P19" s="4">
        <f>COUNTIFS($J$3:$J$306,"Transferred",$B$3:$B$306,"Bite")</f>
        <v>0</v>
      </c>
      <c r="R19" s="8" t="s">
        <v>28</v>
      </c>
      <c r="S19" s="8"/>
      <c r="T19" s="8"/>
    </row>
    <row r="20" spans="1:20" x14ac:dyDescent="0.2">
      <c r="A20" s="3"/>
      <c r="F20" s="2" t="e" cm="1">
        <f t="array" ref="F20">_xlfn.IFS(B20="Owner Surrender",E20,B20="Stray",E20+6,B20="Stray w/identification",E20+11,B20="Bite",E20+10,B20="Other",E20+30,B20="BAS",E20+56,B20="Seized",E20)</f>
        <v>#N/A</v>
      </c>
      <c r="H20" s="5">
        <f t="shared" si="0"/>
        <v>0</v>
      </c>
      <c r="I20" s="5" t="e">
        <f t="shared" si="1"/>
        <v>#N/A</v>
      </c>
      <c r="J20" s="2"/>
      <c r="N20" s="8" t="s">
        <v>31</v>
      </c>
      <c r="O20" s="8"/>
      <c r="P20" s="8"/>
      <c r="S20" s="4" t="s">
        <v>208</v>
      </c>
      <c r="T20" s="4">
        <f>COUNTIFS($J$3:$J$300,"DOA",$D$3:$D$300,"0-6 months")</f>
        <v>0</v>
      </c>
    </row>
    <row r="21" spans="1:20" x14ac:dyDescent="0.2">
      <c r="A21" s="3"/>
      <c r="F21" s="2" t="e" cm="1">
        <f t="array" ref="F21">_xlfn.IFS(B21="Owner Surrender",E21,B21="Stray",E21+6,B21="Stray w/identification",E21+11,B21="Bite",E21+10,B21="Other",E21+30,B21="BAS",E21+56,B21="Seized",E21)</f>
        <v>#N/A</v>
      </c>
      <c r="H21" s="5">
        <f t="shared" si="0"/>
        <v>0</v>
      </c>
      <c r="I21" s="5" t="e">
        <f t="shared" si="1"/>
        <v>#N/A</v>
      </c>
      <c r="J21" s="2"/>
      <c r="O21" s="4" t="s">
        <v>36</v>
      </c>
      <c r="P21" s="4">
        <f>COUNTIFS($J$3:$J$308,"Euthanized",$B$3:$B$308,"Owner Surrender")</f>
        <v>0</v>
      </c>
      <c r="S21" s="4" t="s">
        <v>209</v>
      </c>
      <c r="T21" s="4">
        <f>COUNTIFS($J$3:$J$300,"DOA",$D$3:$D$300,"6-12 months")</f>
        <v>0</v>
      </c>
    </row>
    <row r="22" spans="1:20" x14ac:dyDescent="0.2">
      <c r="A22" s="3"/>
      <c r="F22" s="2" t="e" cm="1">
        <f t="array" ref="F22">_xlfn.IFS(B22="Owner Surrender",E22,B22="Stray",E22+6,B22="Stray w/identification",E22+11,B22="Bite",E22+10,B22="Other",E22+30,B22="BAS",E22+56,B22="Seized",E22)</f>
        <v>#N/A</v>
      </c>
      <c r="H22" s="5">
        <f t="shared" si="0"/>
        <v>0</v>
      </c>
      <c r="I22" s="5" t="e">
        <f t="shared" si="1"/>
        <v>#N/A</v>
      </c>
      <c r="J22" s="2"/>
      <c r="O22" s="4" t="s">
        <v>38</v>
      </c>
      <c r="P22" s="4">
        <f>COUNTIFS($J$3:$J$309,"Euthanized",$B$3:$B$309,"Stray")</f>
        <v>0</v>
      </c>
      <c r="S22" s="4" t="s">
        <v>207</v>
      </c>
      <c r="T22" s="4">
        <f>COUNTIFS($J$3:$J$300,"DOA",$D$3:$D$300,"Adult")</f>
        <v>0</v>
      </c>
    </row>
    <row r="23" spans="1:20" x14ac:dyDescent="0.2">
      <c r="A23" s="3"/>
      <c r="F23" s="2" t="e" cm="1">
        <f t="array" ref="F23">_xlfn.IFS(B23="Owner Surrender",E23,B23="Stray",E23+6,B23="Stray w/identification",E23+11,B23="Bite",E23+10,B23="Other",E23+30,B23="BAS",E23+56,B23="Seized",E23)</f>
        <v>#N/A</v>
      </c>
      <c r="H23" s="5">
        <f t="shared" si="0"/>
        <v>0</v>
      </c>
      <c r="I23" s="5" t="e">
        <f t="shared" si="1"/>
        <v>#N/A</v>
      </c>
      <c r="J23" s="2"/>
      <c r="O23" s="4" t="s">
        <v>203</v>
      </c>
      <c r="P23" s="4">
        <f>COUNTIFS($J$3:$J$314,"Euthanized",$B$3:$B$314,"Stray w/identification")</f>
        <v>0</v>
      </c>
      <c r="S23" s="4" t="s">
        <v>210</v>
      </c>
      <c r="T23" s="4">
        <f>COUNTIFS($J$3:$J$300,"DOA",$D$3:$D$300,"Senior")</f>
        <v>0</v>
      </c>
    </row>
    <row r="24" spans="1:20" x14ac:dyDescent="0.2">
      <c r="A24" s="3"/>
      <c r="F24" s="2" t="e" cm="1">
        <f t="array" ref="F24">_xlfn.IFS(B24="Owner Surrender",E24,B24="Stray",E24+6,B24="Stray w/identification",E24+11,B24="Bite",E24+10,B24="Other",E24+30,B24="BAS",E24+56,B24="Seized",E24)</f>
        <v>#N/A</v>
      </c>
      <c r="H24" s="5">
        <f t="shared" si="0"/>
        <v>0</v>
      </c>
      <c r="I24" s="5" t="e">
        <f t="shared" si="1"/>
        <v>#N/A</v>
      </c>
      <c r="J24" s="2"/>
      <c r="K24" s="2"/>
      <c r="L24" s="2"/>
      <c r="O24" s="4" t="s">
        <v>52</v>
      </c>
      <c r="P24" s="4">
        <f>COUNTIFS($J$3:$J$314,"Euthanized",$B$3:$B$314,"Seized")</f>
        <v>0</v>
      </c>
      <c r="R24" s="8" t="s">
        <v>205</v>
      </c>
      <c r="S24" s="8"/>
      <c r="T24" s="8"/>
    </row>
    <row r="25" spans="1:20" x14ac:dyDescent="0.2">
      <c r="A25" s="3"/>
      <c r="F25" s="2" t="e" cm="1">
        <f t="array" ref="F25">_xlfn.IFS(B25="Owner Surrender",E25,B25="Stray",E25+6,B25="Stray w/identification",E25+11,B25="Bite",E25+10,B25="Other",E25+30,B25="BAS",E25+56,B25="Seized",E25)</f>
        <v>#N/A</v>
      </c>
      <c r="H25" s="5">
        <f t="shared" si="0"/>
        <v>0</v>
      </c>
      <c r="I25" s="5" t="e">
        <f t="shared" si="1"/>
        <v>#N/A</v>
      </c>
      <c r="J25" s="2"/>
      <c r="K25" s="2"/>
      <c r="O25" s="4" t="s">
        <v>60</v>
      </c>
      <c r="P25" s="4">
        <f>COUNTIFS($J$3:$J$314,"Euthanized",$B$3:$B$314,"Other")</f>
        <v>0</v>
      </c>
      <c r="S25" s="4" t="s">
        <v>208</v>
      </c>
      <c r="T25" s="4">
        <f>COUNTIFS($J$3:$J$300,"RTO",$D$3:$D$300,"0-6 months")</f>
        <v>0</v>
      </c>
    </row>
    <row r="26" spans="1:20" x14ac:dyDescent="0.2">
      <c r="A26" s="3"/>
      <c r="F26" s="2" t="e" cm="1">
        <f t="array" ref="F26">_xlfn.IFS(B26="Owner Surrender",E26,B26="Stray",E26+6,B26="Stray w/identification",E26+11,B26="Bite",E26+10,B26="Other",E26+30,B26="BAS",E26+56,B26="Seized",E26)</f>
        <v>#N/A</v>
      </c>
      <c r="H26" s="5">
        <f t="shared" si="0"/>
        <v>0</v>
      </c>
      <c r="I26" s="5" t="e">
        <f t="shared" si="1"/>
        <v>#N/A</v>
      </c>
      <c r="J26" s="2"/>
      <c r="O26" s="4" t="s">
        <v>204</v>
      </c>
      <c r="P26" s="4">
        <f>COUNTIFS($J$3:$J$314,"Euthanized",$B$3:$B$314,"BAS")</f>
        <v>0</v>
      </c>
      <c r="S26" s="4" t="s">
        <v>209</v>
      </c>
      <c r="T26" s="4">
        <f>COUNTIFS($J$3:$J$300,"RTO",$D$3:$D$300,"6-12 months")</f>
        <v>0</v>
      </c>
    </row>
    <row r="27" spans="1:20" x14ac:dyDescent="0.2">
      <c r="A27" s="3"/>
      <c r="F27" s="2" t="e" cm="1">
        <f t="array" ref="F27">_xlfn.IFS(B27="Owner Surrender",E27,B27="Stray",E27+6,B27="Stray w/identification",E27+11,B27="Bite",E27+10,B27="Other",E27+30,B27="BAS",E27+56,B27="Seized",E27)</f>
        <v>#N/A</v>
      </c>
      <c r="H27" s="5">
        <f t="shared" si="0"/>
        <v>0</v>
      </c>
      <c r="I27" s="5" t="e">
        <f t="shared" si="1"/>
        <v>#N/A</v>
      </c>
      <c r="J27" s="2"/>
      <c r="O27" s="4" t="s">
        <v>41</v>
      </c>
      <c r="P27" s="4">
        <f>COUNTIFS($J$3:$J$314,"Euthanized",$B$3:$B$314,"Bite")</f>
        <v>0</v>
      </c>
      <c r="S27" s="4" t="s">
        <v>207</v>
      </c>
      <c r="T27" s="4">
        <f>COUNTIFS($J$3:$J$300,"RTO",$D$3:$D$300,"Adult")</f>
        <v>0</v>
      </c>
    </row>
    <row r="28" spans="1:20" x14ac:dyDescent="0.2">
      <c r="A28" s="3"/>
      <c r="F28" s="2" t="e" cm="1">
        <f t="array" ref="F28">_xlfn.IFS(B28="Owner Surrender",E28,B28="Stray",E28+6,B28="Stray w/identification",E28+11,B28="Bite",E28+10,B28="Other",E28+30,B28="BAS",E28+56,B28="Seized",E28)</f>
        <v>#N/A</v>
      </c>
      <c r="H28" s="5">
        <f t="shared" si="0"/>
        <v>0</v>
      </c>
      <c r="I28" s="5" t="e">
        <f t="shared" si="1"/>
        <v>#N/A</v>
      </c>
      <c r="J28" s="2"/>
      <c r="N28" s="8" t="s">
        <v>28</v>
      </c>
      <c r="O28" s="8"/>
      <c r="P28" s="8"/>
      <c r="S28" s="4" t="s">
        <v>210</v>
      </c>
      <c r="T28" s="4">
        <f>COUNTIFS($J$3:$J$300,"RTO",$D$3:$D$300,"Senior")</f>
        <v>0</v>
      </c>
    </row>
    <row r="29" spans="1:20" x14ac:dyDescent="0.2">
      <c r="A29" s="3"/>
      <c r="F29" s="2" t="e" cm="1">
        <f t="array" ref="F29">_xlfn.IFS(B29="Owner Surrender",E29,B29="Stray",E29+6,B29="Stray w/identification",E29+11,B29="Bite",E29+10,B29="Other",E29+30,B29="BAS",E29+56,B29="Seized",E29)</f>
        <v>#N/A</v>
      </c>
      <c r="H29" s="5">
        <f t="shared" si="0"/>
        <v>0</v>
      </c>
      <c r="I29" s="5" t="e">
        <f t="shared" si="1"/>
        <v>#N/A</v>
      </c>
      <c r="J29" s="2"/>
      <c r="O29" s="4" t="s">
        <v>36</v>
      </c>
      <c r="P29" s="4">
        <f>COUNTIFS($J$3:$J$314,"DOA",$B$3:$B$314,"Owner Surrender")</f>
        <v>0</v>
      </c>
      <c r="R29" s="8" t="s">
        <v>206</v>
      </c>
      <c r="S29" s="8"/>
      <c r="T29" s="8"/>
    </row>
    <row r="30" spans="1:20" x14ac:dyDescent="0.2">
      <c r="A30" s="3"/>
      <c r="F30" s="2" t="e" cm="1">
        <f t="array" ref="F30">_xlfn.IFS(B30="Owner Surrender",E30,B30="Stray",E30+6,B30="Stray w/identification",E30+11,B30="Bite",E30+10,B30="Other",E30+30,B30="BAS",E30+56,B30="Seized",E30)</f>
        <v>#N/A</v>
      </c>
      <c r="H30" s="5">
        <f t="shared" si="0"/>
        <v>0</v>
      </c>
      <c r="I30" s="5" t="e">
        <f t="shared" si="1"/>
        <v>#N/A</v>
      </c>
      <c r="J30" s="2"/>
      <c r="O30" s="4" t="s">
        <v>38</v>
      </c>
      <c r="P30" s="4">
        <f>COUNTIFS($J$3:$J$314,"DOA",$B$3:$B$314,"Stray")</f>
        <v>0</v>
      </c>
      <c r="S30" s="4" t="s">
        <v>208</v>
      </c>
      <c r="T30" s="4">
        <f>COUNTIFS($J$3:$J$300,"Shelter",$D$3:$D$300,"0-6 months")</f>
        <v>0</v>
      </c>
    </row>
    <row r="31" spans="1:20" x14ac:dyDescent="0.2">
      <c r="A31" s="3"/>
      <c r="F31" s="2" t="e" cm="1">
        <f t="array" ref="F31">_xlfn.IFS(B31="Owner Surrender",E31,B31="Stray",E31+6,B31="Stray w/identification",E31+11,B31="Bite",E31+10,B31="Other",E31+30,B31="BAS",E31+56,B31="Seized",E31)</f>
        <v>#N/A</v>
      </c>
      <c r="H31" s="5">
        <f t="shared" si="0"/>
        <v>0</v>
      </c>
      <c r="I31" s="5" t="e">
        <f t="shared" si="1"/>
        <v>#N/A</v>
      </c>
      <c r="J31" s="2"/>
      <c r="O31" s="4" t="s">
        <v>203</v>
      </c>
      <c r="P31" s="4">
        <f>COUNTIFS($J$3:$J$314,"DOA",$B$3:$B$314,"Stray w/identification")</f>
        <v>0</v>
      </c>
      <c r="S31" s="4" t="s">
        <v>209</v>
      </c>
      <c r="T31" s="4">
        <f>COUNTIFS($J$3:$J$300,"Shelter",$D$3:$D$300,"6-12 months")</f>
        <v>0</v>
      </c>
    </row>
    <row r="32" spans="1:20" x14ac:dyDescent="0.2">
      <c r="A32" s="3"/>
      <c r="F32" s="2" t="e" cm="1">
        <f t="array" ref="F32">_xlfn.IFS(B32="Owner Surrender",E32,B32="Stray",E32+6,B32="Stray w/identification",E32+11,B32="Bite",E32+10,B32="Other",E32+30,B32="BAS",E32+56,B32="Seized",E32)</f>
        <v>#N/A</v>
      </c>
      <c r="H32" s="5">
        <f t="shared" si="0"/>
        <v>0</v>
      </c>
      <c r="I32" s="5" t="e">
        <f t="shared" si="1"/>
        <v>#N/A</v>
      </c>
      <c r="J32" s="2"/>
      <c r="O32" s="4" t="s">
        <v>52</v>
      </c>
      <c r="P32" s="4">
        <f>COUNTIFS($J$3:$J$314,"DOA",$B$3:$B$314,"Seized")</f>
        <v>0</v>
      </c>
      <c r="S32" s="4" t="s">
        <v>207</v>
      </c>
      <c r="T32" s="4">
        <f>COUNTIFS($J$3:$J$300,"Shelter",$D$3:$D$300,"Adult")</f>
        <v>0</v>
      </c>
    </row>
    <row r="33" spans="1:20" x14ac:dyDescent="0.2">
      <c r="A33" s="3"/>
      <c r="F33" s="2" t="e" cm="1">
        <f t="array" ref="F33">_xlfn.IFS(B33="Owner Surrender",E33,B33="Stray",E33+6,B33="Stray w/identification",E33+11,B33="Bite",E33+10,B33="Other",E33+30,B33="BAS",E33+56,B33="Seized",E33)</f>
        <v>#N/A</v>
      </c>
      <c r="H33" s="5">
        <f t="shared" si="0"/>
        <v>0</v>
      </c>
      <c r="I33" s="5" t="e">
        <f t="shared" si="1"/>
        <v>#N/A</v>
      </c>
      <c r="J33" s="2"/>
      <c r="O33" s="4" t="s">
        <v>60</v>
      </c>
      <c r="P33" s="4">
        <f>COUNTIFS($J$3:$J$314,"DOA",$B$3:$B$314,"Other")</f>
        <v>0</v>
      </c>
      <c r="S33" s="4" t="s">
        <v>210</v>
      </c>
      <c r="T33" s="4">
        <f>COUNTIFS($J$3:$J$300,"Shelter",$D$3:$D$300,"Senior")</f>
        <v>0</v>
      </c>
    </row>
    <row r="34" spans="1:20" x14ac:dyDescent="0.2">
      <c r="A34" s="3"/>
      <c r="F34" s="2" t="e" cm="1">
        <f t="array" ref="F34">_xlfn.IFS(B34="Owner Surrender",E34,B34="Stray",E34+6,B34="Stray w/identification",E34+11,B34="Bite",E34+10,B34="Other",E34+30,B34="BAS",E34+56,B34="Seized",E34)</f>
        <v>#N/A</v>
      </c>
      <c r="H34" s="5">
        <f t="shared" si="0"/>
        <v>0</v>
      </c>
      <c r="I34" s="5" t="e">
        <f t="shared" si="1"/>
        <v>#N/A</v>
      </c>
      <c r="J34" s="2"/>
      <c r="O34" s="4" t="s">
        <v>204</v>
      </c>
      <c r="P34" s="4">
        <f>COUNTIFS($J$3:$J$314,"DOA",$B$3:$B$314,"BAS")</f>
        <v>0</v>
      </c>
    </row>
    <row r="35" spans="1:20" x14ac:dyDescent="0.2">
      <c r="A35" s="3"/>
      <c r="F35" s="2" t="e" cm="1">
        <f t="array" ref="F35">_xlfn.IFS(B35="Owner Surrender",E35,B35="Stray",E35+6,B35="Stray w/identification",E35+11,B35="Bite",E35+10,B35="Other",E35+30,B35="BAS",E35+56,B35="Seized",E35)</f>
        <v>#N/A</v>
      </c>
      <c r="H35" s="5">
        <f t="shared" si="0"/>
        <v>0</v>
      </c>
      <c r="I35" s="5" t="e">
        <f t="shared" si="1"/>
        <v>#N/A</v>
      </c>
      <c r="J35" s="2"/>
      <c r="O35" s="4" t="s">
        <v>41</v>
      </c>
      <c r="P35" s="4">
        <f>COUNTIFS($J$3:$J$314,"DOA",$B$3:$B$314,"Bite")</f>
        <v>0</v>
      </c>
    </row>
    <row r="36" spans="1:20" x14ac:dyDescent="0.2">
      <c r="A36" s="3"/>
      <c r="F36" s="2" t="e" cm="1">
        <f t="array" ref="F36">_xlfn.IFS(B36="Owner Surrender",E36,B36="Stray",E36+6,B36="Stray w/identification",E36+11,B36="Bite",E36+10,B36="Other",E36+30,B36="BAS",E36+56,B36="Seized",E36)</f>
        <v>#N/A</v>
      </c>
      <c r="H36" s="5">
        <f t="shared" si="0"/>
        <v>0</v>
      </c>
      <c r="I36" s="5" t="e">
        <f t="shared" si="1"/>
        <v>#N/A</v>
      </c>
      <c r="J36" s="2"/>
      <c r="N36" s="8" t="s">
        <v>205</v>
      </c>
      <c r="O36" s="8"/>
      <c r="P36" s="8"/>
    </row>
    <row r="37" spans="1:20" x14ac:dyDescent="0.2">
      <c r="A37" s="3"/>
      <c r="F37" s="2" t="e" cm="1">
        <f t="array" ref="F37">_xlfn.IFS(B37="Owner Surrender",E37,B37="Stray",E37+6,B37="Stray w/identification",E37+11,B37="Bite",E37+10,B37="Other",E37+30,B37="BAS",E37+56,B37="Seized",E37)</f>
        <v>#N/A</v>
      </c>
      <c r="H37" s="5">
        <f t="shared" si="0"/>
        <v>0</v>
      </c>
      <c r="I37" s="5" t="e">
        <f t="shared" si="1"/>
        <v>#N/A</v>
      </c>
      <c r="J37" s="2"/>
      <c r="O37" s="4" t="s">
        <v>36</v>
      </c>
      <c r="P37" s="4">
        <f>COUNTIFS($J$3:$J$314,"RTO",$B$3:$B$314,"Owner Surrender")</f>
        <v>0</v>
      </c>
    </row>
    <row r="38" spans="1:20" x14ac:dyDescent="0.2">
      <c r="A38" s="3"/>
      <c r="F38" s="2" t="e" cm="1">
        <f t="array" ref="F38">_xlfn.IFS(B38="Owner Surrender",E38,B38="Stray",E38+6,B38="Stray w/identification",E38+11,B38="Bite",E38+10,B38="Other",E38+30,B38="BAS",E38+56,B38="Seized",E38)</f>
        <v>#N/A</v>
      </c>
      <c r="H38" s="5">
        <f t="shared" si="0"/>
        <v>0</v>
      </c>
      <c r="I38" s="5" t="e">
        <f t="shared" si="1"/>
        <v>#N/A</v>
      </c>
      <c r="J38" s="2"/>
      <c r="O38" s="4" t="s">
        <v>38</v>
      </c>
      <c r="P38" s="4">
        <f>COUNTIFS($J$3:$J$314,"RTO",$B$3:$B$314,"Stray")</f>
        <v>0</v>
      </c>
    </row>
    <row r="39" spans="1:20" x14ac:dyDescent="0.2">
      <c r="A39" s="3"/>
      <c r="F39" s="2" t="e" cm="1">
        <f t="array" ref="F39">_xlfn.IFS(B39="Owner Surrender",E39,B39="Stray",E39+6,B39="Stray w/identification",E39+11,B39="Bite",E39+10,B39="Other",E39+30,B39="BAS",E39+56,B39="Seized",E39)</f>
        <v>#N/A</v>
      </c>
      <c r="H39" s="5">
        <f t="shared" si="0"/>
        <v>0</v>
      </c>
      <c r="I39" s="5" t="e">
        <f t="shared" si="1"/>
        <v>#N/A</v>
      </c>
      <c r="J39" s="2"/>
      <c r="O39" s="4" t="s">
        <v>203</v>
      </c>
      <c r="P39" s="4">
        <f>COUNTIFS($J$3:$J$314,"RTO",$B$3:$B$314,"Stray w/identification")</f>
        <v>0</v>
      </c>
    </row>
    <row r="40" spans="1:20" x14ac:dyDescent="0.2">
      <c r="A40" s="3"/>
      <c r="F40" s="2" t="e" cm="1">
        <f t="array" ref="F40">_xlfn.IFS(B40="Owner Surrender",E40,B40="Stray",E40+6,B40="Stray w/identification",E40+11,B40="Bite",E40+10,B40="Other",E40+30,B40="BAS",E40+56,B40="Seized",E40)</f>
        <v>#N/A</v>
      </c>
      <c r="H40" s="5">
        <f t="shared" si="0"/>
        <v>0</v>
      </c>
      <c r="I40" s="5" t="e">
        <f t="shared" si="1"/>
        <v>#N/A</v>
      </c>
      <c r="J40" s="2"/>
      <c r="O40" s="4" t="s">
        <v>52</v>
      </c>
      <c r="P40" s="4">
        <f>COUNTIFS($J$3:$J$314,"RTO",$B$3:$B$314,"Seized")</f>
        <v>0</v>
      </c>
    </row>
    <row r="41" spans="1:20" x14ac:dyDescent="0.2">
      <c r="A41" s="3"/>
      <c r="F41" s="2" t="e" cm="1">
        <f t="array" ref="F41">_xlfn.IFS(B41="Owner Surrender",E41,B41="Stray",E41+6,B41="Stray w/identification",E41+11,B41="Bite",E41+10,B41="Other",E41+30,B41="BAS",E41+56,B41="Seized",E41)</f>
        <v>#N/A</v>
      </c>
      <c r="H41" s="5">
        <f t="shared" si="0"/>
        <v>0</v>
      </c>
      <c r="I41" s="5" t="e">
        <f t="shared" si="1"/>
        <v>#N/A</v>
      </c>
      <c r="J41" s="2"/>
      <c r="O41" s="4" t="s">
        <v>60</v>
      </c>
      <c r="P41" s="4">
        <f>COUNTIFS($J$3:$J$314,"RTO",$B$3:$B$314,"Other")</f>
        <v>0</v>
      </c>
    </row>
    <row r="42" spans="1:20" x14ac:dyDescent="0.2">
      <c r="A42" s="3"/>
      <c r="F42" s="2" t="e" cm="1">
        <f t="array" ref="F42">_xlfn.IFS(B42="Owner Surrender",E42,B42="Stray",E42+6,B42="Stray w/identification",E42+11,B42="Bite",E42+10,B42="Other",E42+30,B42="BAS",E42+56,B42="Seized",E42)</f>
        <v>#N/A</v>
      </c>
      <c r="H42" s="5">
        <f t="shared" si="0"/>
        <v>0</v>
      </c>
      <c r="I42" s="5" t="e">
        <f t="shared" si="1"/>
        <v>#N/A</v>
      </c>
      <c r="J42" s="2"/>
      <c r="O42" s="4" t="s">
        <v>204</v>
      </c>
      <c r="P42" s="4">
        <f>COUNTIFS($J$3:$J$314,"RTO",$B$3:$B$314,"BAS")</f>
        <v>0</v>
      </c>
    </row>
    <row r="43" spans="1:20" x14ac:dyDescent="0.2">
      <c r="A43" s="3"/>
      <c r="F43" s="2" t="e" cm="1">
        <f t="array" ref="F43">_xlfn.IFS(B43="Owner Surrender",E43,B43="Stray",E43+6,B43="Stray w/identification",E43+11,B43="Bite",E43+10,B43="Other",E43+30,B43="BAS",E43+56,B43="Seized",E43)</f>
        <v>#N/A</v>
      </c>
      <c r="H43" s="5">
        <f t="shared" si="0"/>
        <v>0</v>
      </c>
      <c r="I43" s="5" t="e">
        <f t="shared" si="1"/>
        <v>#N/A</v>
      </c>
      <c r="J43" s="2"/>
      <c r="O43" s="4" t="s">
        <v>41</v>
      </c>
      <c r="P43" s="4">
        <f>COUNTIFS($J$3:$J$314,"RTO",$B$3:$B$314,"Bite")</f>
        <v>0</v>
      </c>
    </row>
    <row r="44" spans="1:20" x14ac:dyDescent="0.2">
      <c r="A44" s="3"/>
      <c r="F44" s="2" t="e" cm="1">
        <f t="array" ref="F44">_xlfn.IFS(B44="Owner Surrender",E44,B44="Stray",E44+6,B44="Stray w/identification",E44+11,B44="Bite",E44+10,B44="Other",E44+30,B44="BAS",E44+56,B44="Seized",E44)</f>
        <v>#N/A</v>
      </c>
      <c r="H44" s="5">
        <f t="shared" si="0"/>
        <v>0</v>
      </c>
      <c r="I44" s="5" t="e">
        <f t="shared" si="1"/>
        <v>#N/A</v>
      </c>
      <c r="J44" s="2"/>
      <c r="K44" s="2"/>
      <c r="N44" s="8" t="s">
        <v>206</v>
      </c>
      <c r="O44" s="8"/>
      <c r="P44" s="8"/>
    </row>
    <row r="45" spans="1:20" x14ac:dyDescent="0.2">
      <c r="A45" s="3"/>
      <c r="F45" s="2" t="e" cm="1">
        <f t="array" ref="F45">_xlfn.IFS(B45="Owner Surrender",E45,B45="Stray",E45+6,B45="Stray w/identification",E45+11,B45="Bite",E45+10,B45="Other",E45+30,B45="BAS",E45+56,B45="Seized",E45)</f>
        <v>#N/A</v>
      </c>
      <c r="H45" s="5">
        <f t="shared" si="0"/>
        <v>0</v>
      </c>
      <c r="I45" s="5" t="e">
        <f t="shared" si="1"/>
        <v>#N/A</v>
      </c>
      <c r="J45" s="2"/>
      <c r="K45" s="2"/>
      <c r="O45" s="4" t="s">
        <v>36</v>
      </c>
      <c r="P45" s="4">
        <f>COUNTIFS($J$3:$J$314,"Shelter",$B$3:$B$314,"Owner Surrender")</f>
        <v>0</v>
      </c>
    </row>
    <row r="46" spans="1:20" x14ac:dyDescent="0.2">
      <c r="A46" s="3"/>
      <c r="F46" s="2" t="e" cm="1">
        <f t="array" ref="F46">_xlfn.IFS(B46="Owner Surrender",E46,B46="Stray",E46+6,B46="Stray w/identification",E46+11,B46="Bite",E46+10,B46="Other",E46+30,B46="BAS",E46+56,B46="Seized",E46)</f>
        <v>#N/A</v>
      </c>
      <c r="H46" s="5">
        <f t="shared" si="0"/>
        <v>0</v>
      </c>
      <c r="I46" s="5" t="e">
        <f t="shared" si="1"/>
        <v>#N/A</v>
      </c>
      <c r="J46" s="2"/>
      <c r="K46" s="2"/>
      <c r="O46" s="4" t="s">
        <v>38</v>
      </c>
      <c r="P46" s="4">
        <f>COUNTIFS($J$3:$J$314,"Shelter",$B$3:$B$314,"Stray")</f>
        <v>0</v>
      </c>
    </row>
    <row r="47" spans="1:20" x14ac:dyDescent="0.2">
      <c r="A47" s="3"/>
      <c r="F47" s="2" t="e" cm="1">
        <f t="array" ref="F47">_xlfn.IFS(B47="Owner Surrender",E47,B47="Stray",E47+6,B47="Stray w/identification",E47+11,B47="Bite",E47+10,B47="Other",E47+30,B47="BAS",E47+56,B47="Seized",E47)</f>
        <v>#N/A</v>
      </c>
      <c r="H47" s="5">
        <f t="shared" si="0"/>
        <v>0</v>
      </c>
      <c r="I47" s="5" t="e">
        <f t="shared" si="1"/>
        <v>#N/A</v>
      </c>
      <c r="J47" s="2"/>
      <c r="O47" s="4" t="s">
        <v>203</v>
      </c>
      <c r="P47" s="4">
        <f>COUNTIFS($J$3:$J$314,"Shelter",$B$3:$B$314,"Stray w/identification")</f>
        <v>0</v>
      </c>
    </row>
    <row r="48" spans="1:20" x14ac:dyDescent="0.2">
      <c r="A48" s="3"/>
      <c r="F48" s="2" t="e" cm="1">
        <f t="array" ref="F48">_xlfn.IFS(B48="Owner Surrender",E48,B48="Stray",E48+6,B48="Stray w/identification",E48+11,B48="Bite",E48+10,B48="Other",E48+30,B48="BAS",E48+56,B48="Seized",E48)</f>
        <v>#N/A</v>
      </c>
      <c r="H48" s="5">
        <f t="shared" si="0"/>
        <v>0</v>
      </c>
      <c r="I48" s="5" t="e">
        <f t="shared" si="1"/>
        <v>#N/A</v>
      </c>
      <c r="J48" s="2"/>
      <c r="O48" s="4" t="s">
        <v>52</v>
      </c>
      <c r="P48" s="4">
        <f>COUNTIFS($J$3:$J$314,"Shelter",$B$3:$B$314,"Seized")</f>
        <v>0</v>
      </c>
    </row>
    <row r="49" spans="1:16" x14ac:dyDescent="0.2">
      <c r="A49" s="3"/>
      <c r="F49" s="2" t="e" cm="1">
        <f t="array" ref="F49">_xlfn.IFS(B49="Owner Surrender",E49,B49="Stray",E49+6,B49="Stray w/identification",E49+11,B49="Bite",E49+10,B49="Other",E49+30,B49="BAS",E49+56,B49="Seized",E49)</f>
        <v>#N/A</v>
      </c>
      <c r="H49" s="5">
        <f t="shared" si="0"/>
        <v>0</v>
      </c>
      <c r="I49" s="5" t="e">
        <f t="shared" si="1"/>
        <v>#N/A</v>
      </c>
      <c r="J49" s="2"/>
      <c r="O49" s="4" t="s">
        <v>60</v>
      </c>
      <c r="P49" s="4">
        <f>COUNTIFS($J$3:$J$314,"Shelter",$B$3:$B$314,"Other")</f>
        <v>0</v>
      </c>
    </row>
    <row r="50" spans="1:16" x14ac:dyDescent="0.2">
      <c r="A50" s="3"/>
      <c r="F50" s="2" t="e" cm="1">
        <f t="array" ref="F50">_xlfn.IFS(B50="Owner Surrender",E50,B50="Stray",E50+6,B50="Stray w/identification",E50+11,B50="Bite",E50+10,B50="Other",E50+30,B50="BAS",E50+56,B50="Seized",E50)</f>
        <v>#N/A</v>
      </c>
      <c r="H50" s="5">
        <f t="shared" si="0"/>
        <v>0</v>
      </c>
      <c r="I50" s="5" t="e">
        <f t="shared" si="1"/>
        <v>#N/A</v>
      </c>
      <c r="J50" s="2"/>
      <c r="K50" s="2"/>
      <c r="L50" s="2"/>
      <c r="O50" s="4" t="s">
        <v>204</v>
      </c>
      <c r="P50" s="4">
        <f>COUNTIFS($J$3:$J$314,"Shelter",$B$3:$B$314,"BAS")</f>
        <v>0</v>
      </c>
    </row>
    <row r="51" spans="1:16" x14ac:dyDescent="0.2">
      <c r="A51" s="3"/>
      <c r="F51" s="2" t="e" cm="1">
        <f t="array" ref="F51">_xlfn.IFS(B51="Owner Surrender",E51,B51="Stray",E51+6,B51="Stray w/identification",E51+11,B51="Bite",E51+10,B51="Other",E51+30,B51="BAS",E51+56,B51="Seized",E51)</f>
        <v>#N/A</v>
      </c>
      <c r="H51" s="5">
        <f t="shared" si="0"/>
        <v>0</v>
      </c>
      <c r="I51" s="5" t="e">
        <f t="shared" si="1"/>
        <v>#N/A</v>
      </c>
      <c r="J51" s="2"/>
      <c r="O51" s="4" t="s">
        <v>41</v>
      </c>
      <c r="P51" s="4">
        <f>COUNTIFS($J$3:$J$314,"Shelter",$B$3:$B$314,"Bite")</f>
        <v>0</v>
      </c>
    </row>
    <row r="52" spans="1:16" x14ac:dyDescent="0.2">
      <c r="A52" s="3"/>
      <c r="F52" s="2" t="e" cm="1">
        <f t="array" ref="F52">_xlfn.IFS(B52="Owner Surrender",E52,B52="Stray",E52+6,B52="Stray w/identification",E52+11,B52="Bite",E52+10,B52="Other",E52+30,B52="BAS",E52+56,B52="Seized",E52)</f>
        <v>#N/A</v>
      </c>
      <c r="H52" s="5">
        <f t="shared" si="0"/>
        <v>0</v>
      </c>
      <c r="I52" s="5" t="e">
        <f t="shared" si="1"/>
        <v>#N/A</v>
      </c>
      <c r="J52" s="2"/>
    </row>
    <row r="53" spans="1:16" x14ac:dyDescent="0.2">
      <c r="A53" s="3"/>
      <c r="F53" s="2" t="e" cm="1">
        <f t="array" ref="F53">_xlfn.IFS(B53="Owner Surrender",E53,B53="Stray",E53+6,B53="Stray w/identification",E53+11,B53="Bite",E53+10,B53="Other",E53+30,B53="BAS",E53+56,B53="Seized",E53)</f>
        <v>#N/A</v>
      </c>
      <c r="H53" s="5">
        <f t="shared" si="0"/>
        <v>0</v>
      </c>
      <c r="I53" s="5" t="e">
        <f t="shared" si="1"/>
        <v>#N/A</v>
      </c>
      <c r="J53" s="2"/>
    </row>
    <row r="54" spans="1:16" x14ac:dyDescent="0.2">
      <c r="A54" s="3"/>
      <c r="F54" s="2" t="e" cm="1">
        <f t="array" ref="F54">_xlfn.IFS(B54="Owner Surrender",E54,B54="Stray",E54+6,B54="Stray w/identification",E54+11,B54="Bite",E54+10,B54="Other",E54+30,B54="BAS",E54+56,B54="Seized",E54)</f>
        <v>#N/A</v>
      </c>
      <c r="H54" s="5">
        <f t="shared" si="0"/>
        <v>0</v>
      </c>
      <c r="I54" s="5" t="e">
        <f t="shared" si="1"/>
        <v>#N/A</v>
      </c>
      <c r="J54" s="2"/>
    </row>
    <row r="55" spans="1:16" x14ac:dyDescent="0.2">
      <c r="A55" s="3"/>
      <c r="F55" s="2" t="e" cm="1">
        <f t="array" ref="F55">_xlfn.IFS(B55="Owner Surrender",E55,B55="Stray",E55+6,B55="Stray w/identification",E55+11,B55="Bite",E55+10,B55="Other",E55+30,B55="BAS",E55+56,B55="Seized",E55)</f>
        <v>#N/A</v>
      </c>
      <c r="H55" s="5">
        <f t="shared" si="0"/>
        <v>0</v>
      </c>
      <c r="I55" s="5" t="e">
        <f t="shared" si="1"/>
        <v>#N/A</v>
      </c>
      <c r="J55" s="2"/>
    </row>
    <row r="56" spans="1:16" x14ac:dyDescent="0.2">
      <c r="A56" s="3"/>
      <c r="F56" s="2" t="e" cm="1">
        <f t="array" ref="F56">_xlfn.IFS(B56="Owner Surrender",E56,B56="Stray",E56+6,B56="Stray w/identification",E56+11,B56="Bite",E56+10,B56="Other",E56+30,B56="BAS",E56+56,B56="Seized",E56)</f>
        <v>#N/A</v>
      </c>
      <c r="H56" s="5">
        <f t="shared" si="0"/>
        <v>0</v>
      </c>
      <c r="I56" s="5" t="e">
        <f t="shared" si="1"/>
        <v>#N/A</v>
      </c>
      <c r="J56" s="2"/>
    </row>
    <row r="57" spans="1:16" x14ac:dyDescent="0.2">
      <c r="A57" s="3"/>
      <c r="F57" s="2" t="e" cm="1">
        <f t="array" ref="F57">_xlfn.IFS(B57="Owner Surrender",E57,B57="Stray",E57+6,B57="Stray w/identification",E57+11,B57="Bite",E57+10,B57="Other",E57+30,B57="BAS",E57+56,B57="Seized",E57)</f>
        <v>#N/A</v>
      </c>
      <c r="H57" s="5">
        <f t="shared" si="0"/>
        <v>0</v>
      </c>
      <c r="I57" s="5" t="e">
        <f t="shared" si="1"/>
        <v>#N/A</v>
      </c>
      <c r="J57" s="2"/>
    </row>
    <row r="58" spans="1:16" x14ac:dyDescent="0.2">
      <c r="A58" s="3"/>
      <c r="F58" s="2" t="e" cm="1">
        <f t="array" ref="F58">_xlfn.IFS(B58="Owner Surrender",E58,B58="Stray",E58+6,B58="Stray w/identification",E58+11,B58="Bite",E58+10,B58="Other",E58+30,B58="BAS",E58+56,B58="Seized",E58)</f>
        <v>#N/A</v>
      </c>
      <c r="H58" s="5">
        <f t="shared" si="0"/>
        <v>0</v>
      </c>
      <c r="I58" s="5" t="e">
        <f t="shared" si="1"/>
        <v>#N/A</v>
      </c>
      <c r="J58" s="2"/>
    </row>
    <row r="59" spans="1:16" x14ac:dyDescent="0.2">
      <c r="A59" s="3"/>
      <c r="F59" s="2" t="e" cm="1">
        <f t="array" ref="F59">_xlfn.IFS(B59="Owner Surrender",E59,B59="Stray",E59+6,B59="Stray w/identification",E59+11,B59="Bite",E59+10,B59="Other",E59+30,B59="BAS",E59+56,B59="Seized",E59)</f>
        <v>#N/A</v>
      </c>
      <c r="I59" s="5" t="e">
        <f t="shared" si="1"/>
        <v>#N/A</v>
      </c>
      <c r="J59" s="2"/>
      <c r="L59" s="2"/>
    </row>
    <row r="60" spans="1:16" x14ac:dyDescent="0.2">
      <c r="A60" s="3"/>
      <c r="F60" s="2" t="e" cm="1">
        <f t="array" ref="F60">_xlfn.IFS(B60="Owner Surrender",E60,B60="Stray",E60+6,B60="Stray w/identification",E60+11,B60="Bite",E60+10,B60="Other",E60+30,B60="BAS",E60+56,B60="Seized",E60)</f>
        <v>#N/A</v>
      </c>
      <c r="H60" s="5">
        <f>+G60-E60</f>
        <v>0</v>
      </c>
      <c r="I60" s="5" t="e">
        <f t="shared" si="1"/>
        <v>#N/A</v>
      </c>
      <c r="J60" s="2"/>
    </row>
    <row r="61" spans="1:16" x14ac:dyDescent="0.2">
      <c r="A61" s="3"/>
      <c r="F61" s="2" t="e" cm="1">
        <f t="array" ref="F61">_xlfn.IFS(B61="Owner Surrender",E61,B61="Stray",E61+6,B61="Stray w/identification",E61+11,B61="Bite",E61+10,B61="Other",E61+30,B61="BAS",E61+56,B61="Seized",E61)</f>
        <v>#N/A</v>
      </c>
      <c r="I61" s="5" t="e">
        <f t="shared" si="1"/>
        <v>#N/A</v>
      </c>
      <c r="J61" s="2"/>
      <c r="L61" s="2"/>
    </row>
    <row r="62" spans="1:16" x14ac:dyDescent="0.2">
      <c r="A62" s="3"/>
      <c r="F62" s="2" t="e" cm="1">
        <f t="array" ref="F62">_xlfn.IFS(B62="Owner Surrender",E62,B62="Stray",E62+6,B62="Stray w/identification",E62+11,B62="Bite",E62+10,B62="Other",E62+30,B62="BAS",E62+56,B62="Seized",E62)</f>
        <v>#N/A</v>
      </c>
      <c r="I62" s="5" t="e">
        <f t="shared" si="1"/>
        <v>#N/A</v>
      </c>
      <c r="J62" s="2"/>
      <c r="L62" s="2"/>
    </row>
    <row r="63" spans="1:16" x14ac:dyDescent="0.2">
      <c r="A63" s="3"/>
      <c r="F63" s="2" t="e" cm="1">
        <f t="array" ref="F63">_xlfn.IFS(B63="Owner Surrender",E63,B63="Stray",E63+6,B63="Stray w/identification",E63+11,B63="Bite",E63+10,B63="Other",E63+30,B63="BAS",E63+56,B63="Seized",E63)</f>
        <v>#N/A</v>
      </c>
      <c r="I63" s="5" t="e">
        <f t="shared" si="1"/>
        <v>#N/A</v>
      </c>
      <c r="J63" s="2"/>
      <c r="L63" s="2"/>
    </row>
    <row r="64" spans="1:16" x14ac:dyDescent="0.2">
      <c r="A64" s="3"/>
      <c r="F64" s="2" t="e" cm="1">
        <f t="array" ref="F64">_xlfn.IFS(B64="Owner Surrender",E64,B64="Stray",E64+6,B64="Stray w/identification",E64+11,B64="Bite",E64+10,B64="Other",E64+30,B64="BAS",E64+56,B64="Seized",E64)</f>
        <v>#N/A</v>
      </c>
      <c r="H64" s="5">
        <f t="shared" ref="H64:H95" si="2">+G64-E64</f>
        <v>0</v>
      </c>
      <c r="I64" s="5" t="e">
        <f t="shared" si="1"/>
        <v>#N/A</v>
      </c>
      <c r="J64" s="2"/>
    </row>
    <row r="65" spans="1:12" x14ac:dyDescent="0.2">
      <c r="A65" s="3"/>
      <c r="F65" s="2" t="e" cm="1">
        <f t="array" ref="F65">_xlfn.IFS(B65="Owner Surrender",E65,B65="Stray",E65+6,B65="Stray w/identification",E65+11,B65="Bite",E65+10,B65="Other",E65+30,B65="BAS",E65+56,B65="Seized",E65)</f>
        <v>#N/A</v>
      </c>
      <c r="H65" s="5">
        <f t="shared" si="2"/>
        <v>0</v>
      </c>
      <c r="I65" s="5" t="e">
        <f t="shared" si="1"/>
        <v>#N/A</v>
      </c>
      <c r="J65" s="2"/>
    </row>
    <row r="66" spans="1:12" x14ac:dyDescent="0.2">
      <c r="A66" s="3"/>
      <c r="F66" s="2" t="e" cm="1">
        <f t="array" ref="F66">_xlfn.IFS(B66="Owner Surrender",E66,B66="Stray",E66+6,B66="Stray w/identification",E66+11,B66="Bite",E66+10,B66="Other",E66+30,B66="BAS",E66+56,B66="Seized",E66)</f>
        <v>#N/A</v>
      </c>
      <c r="H66" s="5">
        <f t="shared" si="2"/>
        <v>0</v>
      </c>
      <c r="I66" s="5" t="e">
        <f t="shared" si="1"/>
        <v>#N/A</v>
      </c>
      <c r="J66" s="2"/>
    </row>
    <row r="67" spans="1:12" x14ac:dyDescent="0.2">
      <c r="A67" s="3"/>
      <c r="F67" s="2" t="e" cm="1">
        <f t="array" ref="F67">_xlfn.IFS(B67="Owner Surrender",E67,B67="Stray",E67+6,B67="Stray w/identification",E67+11,B67="Bite",E67+10,B67="Other",E67+30,B67="BAS",E67+56,B67="Seized",E67)</f>
        <v>#N/A</v>
      </c>
      <c r="H67" s="5">
        <f t="shared" si="2"/>
        <v>0</v>
      </c>
      <c r="I67" s="5" t="e">
        <f t="shared" si="1"/>
        <v>#N/A</v>
      </c>
      <c r="J67" s="2"/>
    </row>
    <row r="68" spans="1:12" x14ac:dyDescent="0.2">
      <c r="A68" s="3"/>
      <c r="F68" s="2" t="e" cm="1">
        <f t="array" ref="F68">_xlfn.IFS(B68="Owner Surrender",E68,B68="Stray",E68+6,B68="Stray w/identification",E68+11,B68="Bite",E68+10,B68="Other",E68+30,B68="BAS",E68+56,B68="Seized",E68)</f>
        <v>#N/A</v>
      </c>
      <c r="H68" s="5">
        <f t="shared" si="2"/>
        <v>0</v>
      </c>
      <c r="I68" s="5" t="e">
        <f t="shared" ref="I68:I131" si="3">G68-F68</f>
        <v>#N/A</v>
      </c>
      <c r="J68" s="2"/>
    </row>
    <row r="69" spans="1:12" x14ac:dyDescent="0.2">
      <c r="A69" s="3"/>
      <c r="F69" s="2" t="e" cm="1">
        <f t="array" ref="F69">_xlfn.IFS(B69="Owner Surrender",E69,B69="Stray",E69+6,B69="Stray w/identification",E69+11,B69="Bite",E69+10,B69="Other",E69+30,B69="BAS",E69+56,B69="Seized",E69)</f>
        <v>#N/A</v>
      </c>
      <c r="H69" s="5">
        <f t="shared" si="2"/>
        <v>0</v>
      </c>
      <c r="I69" s="5" t="e">
        <f t="shared" si="3"/>
        <v>#N/A</v>
      </c>
      <c r="J69" s="2"/>
      <c r="K69" s="2"/>
    </row>
    <row r="70" spans="1:12" x14ac:dyDescent="0.2">
      <c r="A70" s="3"/>
      <c r="F70" s="2" t="e" cm="1">
        <f t="array" ref="F70">_xlfn.IFS(B70="Owner Surrender",E70,B70="Stray",E70+6,B70="Stray w/identification",E70+11,B70="Bite",E70+10,B70="Other",E70+30,B70="BAS",E70+56,B70="Seized",E70)</f>
        <v>#N/A</v>
      </c>
      <c r="H70" s="5">
        <f t="shared" si="2"/>
        <v>0</v>
      </c>
      <c r="I70" s="5" t="e">
        <f t="shared" si="3"/>
        <v>#N/A</v>
      </c>
      <c r="J70" s="2"/>
      <c r="K70" s="2"/>
    </row>
    <row r="71" spans="1:12" x14ac:dyDescent="0.2">
      <c r="A71" s="3"/>
      <c r="F71" s="2" t="e" cm="1">
        <f t="array" ref="F71">_xlfn.IFS(B71="Owner Surrender",E71,B71="Stray",E71+6,B71="Stray w/identification",E71+11,B71="Bite",E71+10,B71="Other",E71+30,B71="BAS",E71+56,B71="Seized",E71)</f>
        <v>#N/A</v>
      </c>
      <c r="H71" s="5">
        <f t="shared" si="2"/>
        <v>0</v>
      </c>
      <c r="I71" s="5" t="e">
        <f t="shared" si="3"/>
        <v>#N/A</v>
      </c>
      <c r="J71" s="2"/>
    </row>
    <row r="72" spans="1:12" x14ac:dyDescent="0.2">
      <c r="A72" s="3"/>
      <c r="F72" s="2" t="e" cm="1">
        <f t="array" ref="F72">_xlfn.IFS(B72="Owner Surrender",E72,B72="Stray",E72+6,B72="Stray w/identification",E72+11,B72="Bite",E72+10,B72="Other",E72+30,B72="BAS",E72+56,B72="Seized",E72)</f>
        <v>#N/A</v>
      </c>
      <c r="H72" s="5">
        <f t="shared" si="2"/>
        <v>0</v>
      </c>
      <c r="I72" s="5" t="e">
        <f t="shared" si="3"/>
        <v>#N/A</v>
      </c>
      <c r="J72" s="2"/>
      <c r="K72" s="2"/>
    </row>
    <row r="73" spans="1:12" x14ac:dyDescent="0.2">
      <c r="A73" s="3"/>
      <c r="F73" s="2" t="e" cm="1">
        <f t="array" ref="F73">_xlfn.IFS(B73="Owner Surrender",E73,B73="Stray",E73+6,B73="Stray w/identification",E73+11,B73="Bite",E73+10,B73="Other",E73+30,B73="BAS",E73+56,B73="Seized",E73)</f>
        <v>#N/A</v>
      </c>
      <c r="H73" s="5">
        <f t="shared" si="2"/>
        <v>0</v>
      </c>
      <c r="I73" s="5" t="e">
        <f t="shared" si="3"/>
        <v>#N/A</v>
      </c>
      <c r="J73" s="2"/>
    </row>
    <row r="74" spans="1:12" x14ac:dyDescent="0.2">
      <c r="A74" s="3"/>
      <c r="F74" s="2" t="e" cm="1">
        <f t="array" ref="F74">_xlfn.IFS(B74="Owner Surrender",E74,B74="Stray",E74+6,B74="Stray w/identification",E74+11,B74="Bite",E74+10,B74="Other",E74+30,B74="BAS",E74+56,B74="Seized",E74)</f>
        <v>#N/A</v>
      </c>
      <c r="H74" s="5">
        <f t="shared" si="2"/>
        <v>0</v>
      </c>
      <c r="I74" s="5" t="e">
        <f t="shared" si="3"/>
        <v>#N/A</v>
      </c>
      <c r="J74" s="2"/>
      <c r="K74" s="2"/>
    </row>
    <row r="75" spans="1:12" x14ac:dyDescent="0.2">
      <c r="A75" s="3"/>
      <c r="F75" s="2" t="e" cm="1">
        <f t="array" ref="F75">_xlfn.IFS(B75="Owner Surrender",E75,B75="Stray",E75+6,B75="Stray w/identification",E75+11,B75="Bite",E75+10,B75="Other",E75+30,B75="BAS",E75+56,B75="Seized",E75)</f>
        <v>#N/A</v>
      </c>
      <c r="H75" s="5">
        <f t="shared" si="2"/>
        <v>0</v>
      </c>
      <c r="I75" s="5" t="e">
        <f t="shared" si="3"/>
        <v>#N/A</v>
      </c>
      <c r="J75" s="2"/>
      <c r="K75" s="2"/>
      <c r="L75" s="2"/>
    </row>
    <row r="76" spans="1:12" x14ac:dyDescent="0.2">
      <c r="A76" s="3"/>
      <c r="F76" s="2" t="e" cm="1">
        <f t="array" ref="F76">_xlfn.IFS(B76="Owner Surrender",E76,B76="Stray",E76+6,B76="Stray w/identification",E76+11,B76="Bite",E76+10,B76="Other",E76+30,B76="BAS",E76+56,B76="Seized",E76)</f>
        <v>#N/A</v>
      </c>
      <c r="H76" s="5">
        <f t="shared" si="2"/>
        <v>0</v>
      </c>
      <c r="I76" s="5" t="e">
        <f t="shared" si="3"/>
        <v>#N/A</v>
      </c>
      <c r="J76" s="2"/>
    </row>
    <row r="77" spans="1:12" x14ac:dyDescent="0.2">
      <c r="A77" s="3"/>
      <c r="F77" s="2" t="e" cm="1">
        <f t="array" ref="F77">_xlfn.IFS(B77="Owner Surrender",E77,B77="Stray",E77+6,B77="Stray w/identification",E77+11,B77="Bite",E77+10,B77="Other",E77+30,B77="BAS",E77+56,B77="Seized",E77)</f>
        <v>#N/A</v>
      </c>
      <c r="H77" s="5">
        <f t="shared" si="2"/>
        <v>0</v>
      </c>
      <c r="I77" s="5" t="e">
        <f t="shared" si="3"/>
        <v>#N/A</v>
      </c>
      <c r="J77" s="2"/>
      <c r="K77" s="2"/>
      <c r="L77" s="2"/>
    </row>
    <row r="78" spans="1:12" x14ac:dyDescent="0.2">
      <c r="A78" s="3"/>
      <c r="F78" s="2" t="e" cm="1">
        <f t="array" ref="F78">_xlfn.IFS(B78="Owner Surrender",E78,B78="Stray",E78+6,B78="Stray w/identification",E78+11,B78="Bite",E78+10,B78="Other",E78+30,B78="BAS",E78+56,B78="Seized",E78)</f>
        <v>#N/A</v>
      </c>
      <c r="H78" s="5">
        <f t="shared" si="2"/>
        <v>0</v>
      </c>
      <c r="I78" s="5" t="e">
        <f t="shared" si="3"/>
        <v>#N/A</v>
      </c>
      <c r="J78" s="2"/>
    </row>
    <row r="79" spans="1:12" x14ac:dyDescent="0.2">
      <c r="A79" s="3"/>
      <c r="F79" s="2" t="e" cm="1">
        <f t="array" ref="F79">_xlfn.IFS(B79="Owner Surrender",E79,B79="Stray",E79+6,B79="Stray w/identification",E79+11,B79="Bite",E79+10,B79="Other",E79+30,B79="BAS",E79+56,B79="Seized",E79)</f>
        <v>#N/A</v>
      </c>
      <c r="H79" s="5">
        <f t="shared" si="2"/>
        <v>0</v>
      </c>
      <c r="I79" s="5" t="e">
        <f t="shared" si="3"/>
        <v>#N/A</v>
      </c>
      <c r="J79" s="2"/>
    </row>
    <row r="80" spans="1:12" x14ac:dyDescent="0.2">
      <c r="A80" s="3"/>
      <c r="F80" s="2" t="e" cm="1">
        <f t="array" ref="F80">_xlfn.IFS(B80="Owner Surrender",E80,B80="Stray",E80+6,B80="Stray w/identification",E80+11,B80="Bite",E80+10,B80="Other",E80+30,B80="BAS",E80+56,B80="Seized",E80)</f>
        <v>#N/A</v>
      </c>
      <c r="H80" s="5">
        <f t="shared" si="2"/>
        <v>0</v>
      </c>
      <c r="I80" s="5" t="e">
        <f t="shared" si="3"/>
        <v>#N/A</v>
      </c>
      <c r="J80" s="2"/>
    </row>
    <row r="81" spans="1:12" x14ac:dyDescent="0.2">
      <c r="A81" s="3"/>
      <c r="F81" s="2" t="e" cm="1">
        <f t="array" ref="F81">_xlfn.IFS(B81="Owner Surrender",E81,B81="Stray",E81+6,B81="Stray w/identification",E81+11,B81="Bite",E81+10,B81="Other",E81+30,B81="BAS",E81+56,B81="Seized",E81)</f>
        <v>#N/A</v>
      </c>
      <c r="H81" s="5">
        <f t="shared" si="2"/>
        <v>0</v>
      </c>
      <c r="I81" s="5" t="e">
        <f t="shared" si="3"/>
        <v>#N/A</v>
      </c>
      <c r="J81" s="2"/>
    </row>
    <row r="82" spans="1:12" x14ac:dyDescent="0.2">
      <c r="A82" s="3"/>
      <c r="F82" s="2" t="e" cm="1">
        <f t="array" ref="F82">_xlfn.IFS(B82="Owner Surrender",E82,B82="Stray",E82+6,B82="Stray w/identification",E82+11,B82="Bite",E82+10,B82="Other",E82+30,B82="BAS",E82+56,B82="Seized",E82)</f>
        <v>#N/A</v>
      </c>
      <c r="H82" s="5">
        <f t="shared" si="2"/>
        <v>0</v>
      </c>
      <c r="I82" s="5" t="e">
        <f t="shared" si="3"/>
        <v>#N/A</v>
      </c>
      <c r="J82" s="2"/>
    </row>
    <row r="83" spans="1:12" x14ac:dyDescent="0.2">
      <c r="A83" s="3"/>
      <c r="F83" s="2" t="e" cm="1">
        <f t="array" ref="F83">_xlfn.IFS(B83="Owner Surrender",E83,B83="Stray",E83+6,B83="Stray w/identification",E83+11,B83="Bite",E83+10,B83="Other",E83+30,B83="BAS",E83+56,B83="Seized",E83)</f>
        <v>#N/A</v>
      </c>
      <c r="H83" s="5">
        <f t="shared" si="2"/>
        <v>0</v>
      </c>
      <c r="I83" s="5" t="e">
        <f t="shared" si="3"/>
        <v>#N/A</v>
      </c>
      <c r="J83" s="2"/>
    </row>
    <row r="84" spans="1:12" x14ac:dyDescent="0.2">
      <c r="A84" s="3"/>
      <c r="F84" s="2" t="e" cm="1">
        <f t="array" ref="F84">_xlfn.IFS(B84="Owner Surrender",E84,B84="Stray",E84+6,B84="Stray w/identification",E84+11,B84="Bite",E84+10,B84="Other",E84+30,B84="BAS",E84+56,B84="Seized",E84)</f>
        <v>#N/A</v>
      </c>
      <c r="H84" s="5">
        <f t="shared" si="2"/>
        <v>0</v>
      </c>
      <c r="I84" s="5" t="e">
        <f t="shared" si="3"/>
        <v>#N/A</v>
      </c>
      <c r="J84" s="2"/>
    </row>
    <row r="85" spans="1:12" x14ac:dyDescent="0.2">
      <c r="A85" s="3"/>
      <c r="F85" s="2" t="e" cm="1">
        <f t="array" ref="F85">_xlfn.IFS(B85="Owner Surrender",E85,B85="Stray",E85+6,B85="Stray w/identification",E85+11,B85="Bite",E85+10,B85="Other",E85+30,B85="BAS",E85+56,B85="Seized",E85)</f>
        <v>#N/A</v>
      </c>
      <c r="H85" s="5">
        <f t="shared" si="2"/>
        <v>0</v>
      </c>
      <c r="I85" s="5" t="e">
        <f t="shared" si="3"/>
        <v>#N/A</v>
      </c>
      <c r="J85" s="2"/>
    </row>
    <row r="86" spans="1:12" x14ac:dyDescent="0.2">
      <c r="A86" s="3"/>
      <c r="F86" s="2" t="e" cm="1">
        <f t="array" ref="F86">_xlfn.IFS(B86="Owner Surrender",E86,B86="Stray",E86+6,B86="Stray w/identification",E86+11,B86="Bite",E86+10,B86="Other",E86+30,B86="BAS",E86+56,B86="Seized",E86)</f>
        <v>#N/A</v>
      </c>
      <c r="H86" s="5">
        <f t="shared" si="2"/>
        <v>0</v>
      </c>
      <c r="I86" s="5" t="e">
        <f t="shared" si="3"/>
        <v>#N/A</v>
      </c>
      <c r="J86" s="2"/>
    </row>
    <row r="87" spans="1:12" x14ac:dyDescent="0.2">
      <c r="A87" s="3"/>
      <c r="F87" s="2" t="e" cm="1">
        <f t="array" ref="F87">_xlfn.IFS(B87="Owner Surrender",E87,B87="Stray",E87+6,B87="Stray w/identification",E87+11,B87="Bite",E87+10,B87="Other",E87+30,B87="BAS",E87+56,B87="Seized",E87)</f>
        <v>#N/A</v>
      </c>
      <c r="H87" s="5">
        <f t="shared" si="2"/>
        <v>0</v>
      </c>
      <c r="I87" s="5" t="e">
        <f t="shared" si="3"/>
        <v>#N/A</v>
      </c>
      <c r="J87" s="2"/>
    </row>
    <row r="88" spans="1:12" x14ac:dyDescent="0.2">
      <c r="A88" s="3"/>
      <c r="F88" s="2" t="e" cm="1">
        <f t="array" ref="F88">_xlfn.IFS(B88="Owner Surrender",E88,B88="Stray",E88+6,B88="Stray w/identification",E88+11,B88="Bite",E88+10,B88="Other",E88+30,B88="BAS",E88+56,B88="Seized",E88)</f>
        <v>#N/A</v>
      </c>
      <c r="H88" s="5">
        <f t="shared" si="2"/>
        <v>0</v>
      </c>
      <c r="I88" s="5" t="e">
        <f t="shared" si="3"/>
        <v>#N/A</v>
      </c>
      <c r="J88" s="2"/>
    </row>
    <row r="89" spans="1:12" x14ac:dyDescent="0.2">
      <c r="A89" s="3"/>
      <c r="F89" s="2" t="e" cm="1">
        <f t="array" ref="F89">_xlfn.IFS(B89="Owner Surrender",E89,B89="Stray",E89+6,B89="Stray w/identification",E89+11,B89="Bite",E89+10,B89="Other",E89+30,B89="BAS",E89+56,B89="Seized",E89)</f>
        <v>#N/A</v>
      </c>
      <c r="H89" s="5">
        <f t="shared" si="2"/>
        <v>0</v>
      </c>
      <c r="I89" s="5" t="e">
        <f t="shared" si="3"/>
        <v>#N/A</v>
      </c>
      <c r="J89" s="2"/>
    </row>
    <row r="90" spans="1:12" x14ac:dyDescent="0.2">
      <c r="A90" s="3"/>
      <c r="F90" s="2" t="e" cm="1">
        <f t="array" ref="F90">_xlfn.IFS(B90="Owner Surrender",E90,B90="Stray",E90+6,B90="Stray w/identification",E90+11,B90="Bite",E90+10,B90="Other",E90+30,B90="BAS",E90+56,B90="Seized",E90)</f>
        <v>#N/A</v>
      </c>
      <c r="H90" s="5">
        <f t="shared" si="2"/>
        <v>0</v>
      </c>
      <c r="I90" s="5" t="e">
        <f t="shared" si="3"/>
        <v>#N/A</v>
      </c>
      <c r="J90" s="2"/>
    </row>
    <row r="91" spans="1:12" x14ac:dyDescent="0.2">
      <c r="A91" s="3"/>
      <c r="F91" s="2" t="e" cm="1">
        <f t="array" ref="F91">_xlfn.IFS(B91="Owner Surrender",E91,B91="Stray",E91+6,B91="Stray w/identification",E91+11,B91="Bite",E91+10,B91="Other",E91+30,B91="BAS",E91+56,B91="Seized",E91)</f>
        <v>#N/A</v>
      </c>
      <c r="H91" s="5">
        <f t="shared" si="2"/>
        <v>0</v>
      </c>
      <c r="I91" s="5" t="e">
        <f t="shared" si="3"/>
        <v>#N/A</v>
      </c>
      <c r="J91" s="2"/>
    </row>
    <row r="92" spans="1:12" x14ac:dyDescent="0.2">
      <c r="A92" s="3"/>
      <c r="F92" s="2" t="e" cm="1">
        <f t="array" ref="F92">_xlfn.IFS(B92="Owner Surrender",E92,B92="Stray",E92+6,B92="Stray w/identification",E92+11,B92="Bite",E92+10,B92="Other",E92+30,B92="BAS",E92+56,B92="Seized",E92)</f>
        <v>#N/A</v>
      </c>
      <c r="H92" s="5">
        <f t="shared" si="2"/>
        <v>0</v>
      </c>
      <c r="I92" s="5" t="e">
        <f t="shared" si="3"/>
        <v>#N/A</v>
      </c>
      <c r="J92" s="2"/>
    </row>
    <row r="93" spans="1:12" x14ac:dyDescent="0.2">
      <c r="A93" s="3"/>
      <c r="F93" s="2" t="e" cm="1">
        <f t="array" ref="F93">_xlfn.IFS(B93="Owner Surrender",E93,B93="Stray",E93+6,B93="Stray w/identification",E93+11,B93="Bite",E93+10,B93="Other",E93+30,B93="BAS",E93+56,B93="Seized",E93)</f>
        <v>#N/A</v>
      </c>
      <c r="H93" s="5">
        <f t="shared" si="2"/>
        <v>0</v>
      </c>
      <c r="I93" s="5" t="e">
        <f t="shared" si="3"/>
        <v>#N/A</v>
      </c>
      <c r="J93" s="2"/>
    </row>
    <row r="94" spans="1:12" x14ac:dyDescent="0.2">
      <c r="A94" s="3"/>
      <c r="F94" s="2" t="e" cm="1">
        <f t="array" ref="F94">_xlfn.IFS(B94="Owner Surrender",E94,B94="Stray",E94+6,B94="Stray w/identification",E94+11,B94="Bite",E94+10,B94="Other",E94+30,B94="BAS",E94+56,B94="Seized",E94)</f>
        <v>#N/A</v>
      </c>
      <c r="H94" s="5">
        <f t="shared" si="2"/>
        <v>0</v>
      </c>
      <c r="I94" s="5" t="e">
        <f t="shared" si="3"/>
        <v>#N/A</v>
      </c>
      <c r="J94" s="2"/>
      <c r="K94" s="2"/>
      <c r="L94" s="2"/>
    </row>
    <row r="95" spans="1:12" x14ac:dyDescent="0.2">
      <c r="A95" s="3"/>
      <c r="F95" s="2" t="e" cm="1">
        <f t="array" ref="F95">_xlfn.IFS(B95="Owner Surrender",E95,B95="Stray",E95+6,B95="Stray w/identification",E95+11,B95="Bite",E95+10,B95="Other",E95+30,B95="BAS",E95+56,B95="Seized",E95)</f>
        <v>#N/A</v>
      </c>
      <c r="H95" s="5">
        <f t="shared" si="2"/>
        <v>0</v>
      </c>
      <c r="I95" s="5" t="e">
        <f t="shared" si="3"/>
        <v>#N/A</v>
      </c>
      <c r="J95" s="2"/>
    </row>
    <row r="96" spans="1:12" x14ac:dyDescent="0.2">
      <c r="A96" s="3"/>
      <c r="F96" s="2" t="e" cm="1">
        <f t="array" ref="F96">_xlfn.IFS(B96="Owner Surrender",E96,B96="Stray",E96+6,B96="Stray w/identification",E96+11,B96="Bite",E96+10,B96="Other",E96+30,B96="BAS",E96+56,B96="Seized",E96)</f>
        <v>#N/A</v>
      </c>
      <c r="I96" s="5" t="e">
        <f t="shared" si="3"/>
        <v>#N/A</v>
      </c>
      <c r="J96" s="2"/>
      <c r="K96" s="2"/>
    </row>
    <row r="97" spans="1:11" x14ac:dyDescent="0.2">
      <c r="A97" s="3"/>
      <c r="F97" s="2" t="e" cm="1">
        <f t="array" ref="F97">_xlfn.IFS(B97="Owner Surrender",E97,B97="Stray",E97+6,B97="Stray w/identification",E97+11,B97="Bite",E97+10,B97="Other",E97+30,B97="BAS",E97+56,B97="Seized",E97)</f>
        <v>#N/A</v>
      </c>
      <c r="H97" s="5">
        <f t="shared" ref="H97:H133" si="4">+G97-E97</f>
        <v>0</v>
      </c>
      <c r="I97" s="5" t="e">
        <f t="shared" si="3"/>
        <v>#N/A</v>
      </c>
      <c r="J97" s="2"/>
      <c r="K97" s="2"/>
    </row>
    <row r="98" spans="1:11" x14ac:dyDescent="0.2">
      <c r="A98" s="3"/>
      <c r="F98" s="2" t="e" cm="1">
        <f t="array" ref="F98">_xlfn.IFS(B98="Owner Surrender",E98,B98="Stray",E98+6,B98="Stray w/identification",E98+11,B98="Bite",E98+10,B98="Other",E98+30,B98="BAS",E98+56,B98="Seized",E98)</f>
        <v>#N/A</v>
      </c>
      <c r="H98" s="5">
        <f t="shared" si="4"/>
        <v>0</v>
      </c>
      <c r="I98" s="5" t="e">
        <f t="shared" si="3"/>
        <v>#N/A</v>
      </c>
      <c r="J98" s="2"/>
      <c r="K98" s="2"/>
    </row>
    <row r="99" spans="1:11" x14ac:dyDescent="0.2">
      <c r="A99" s="3"/>
      <c r="F99" s="2" t="e" cm="1">
        <f t="array" ref="F99">_xlfn.IFS(B99="Owner Surrender",E99,B99="Stray",E99+6,B99="Stray w/identification",E99+11,B99="Bite",E99+10,B99="Other",E99+30,B99="BAS",E99+56,B99="Seized",E99)</f>
        <v>#N/A</v>
      </c>
      <c r="H99" s="5">
        <f t="shared" si="4"/>
        <v>0</v>
      </c>
      <c r="I99" s="5" t="e">
        <f t="shared" si="3"/>
        <v>#N/A</v>
      </c>
      <c r="J99" s="2"/>
      <c r="K99" s="2"/>
    </row>
    <row r="100" spans="1:11" x14ac:dyDescent="0.2">
      <c r="A100" s="3"/>
      <c r="F100" s="2" t="e" cm="1">
        <f t="array" ref="F100">_xlfn.IFS(B100="Owner Surrender",E100,B100="Stray",E100+6,B100="Stray w/identification",E100+11,B100="Bite",E100+10,B100="Other",E100+30,B100="BAS",E100+56,B100="Seized",E100)</f>
        <v>#N/A</v>
      </c>
      <c r="H100" s="5">
        <f t="shared" si="4"/>
        <v>0</v>
      </c>
      <c r="I100" s="5" t="e">
        <f t="shared" si="3"/>
        <v>#N/A</v>
      </c>
      <c r="J100" s="2"/>
    </row>
    <row r="101" spans="1:11" x14ac:dyDescent="0.2">
      <c r="A101" s="3"/>
      <c r="F101" s="2" t="e" cm="1">
        <f t="array" ref="F101">_xlfn.IFS(B101="Owner Surrender",E101,B101="Stray",E101+6,B101="Stray w/identification",E101+11,B101="Bite",E101+10,B101="Other",E101+30,B101="BAS",E101+56,B101="Seized",E101)</f>
        <v>#N/A</v>
      </c>
      <c r="H101" s="5">
        <f t="shared" si="4"/>
        <v>0</v>
      </c>
      <c r="I101" s="5" t="e">
        <f t="shared" si="3"/>
        <v>#N/A</v>
      </c>
      <c r="J101" s="2"/>
      <c r="K101" s="2"/>
    </row>
    <row r="102" spans="1:11" x14ac:dyDescent="0.2">
      <c r="A102" s="3"/>
      <c r="F102" s="2" t="e" cm="1">
        <f t="array" ref="F102">_xlfn.IFS(B102="Owner Surrender",E102,B102="Stray",E102+6,B102="Stray w/identification",E102+11,B102="Bite",E102+10,B102="Other",E102+30,B102="BAS",E102+56,B102="Seized",E102)</f>
        <v>#N/A</v>
      </c>
      <c r="H102" s="5">
        <f t="shared" si="4"/>
        <v>0</v>
      </c>
      <c r="I102" s="5" t="e">
        <f t="shared" si="3"/>
        <v>#N/A</v>
      </c>
      <c r="J102" s="2"/>
    </row>
    <row r="103" spans="1:11" x14ac:dyDescent="0.2">
      <c r="A103" s="3"/>
      <c r="F103" s="2" t="e" cm="1">
        <f t="array" ref="F103">_xlfn.IFS(B103="Owner Surrender",E103,B103="Stray",E103+6,B103="Stray w/identification",E103+11,B103="Bite",E103+10,B103="Other",E103+30,B103="BAS",E103+56,B103="Seized",E103)</f>
        <v>#N/A</v>
      </c>
      <c r="H103" s="5">
        <f t="shared" si="4"/>
        <v>0</v>
      </c>
      <c r="I103" s="5" t="e">
        <f t="shared" si="3"/>
        <v>#N/A</v>
      </c>
      <c r="J103" s="2"/>
      <c r="K103" s="2"/>
    </row>
    <row r="104" spans="1:11" x14ac:dyDescent="0.2">
      <c r="A104" s="3"/>
      <c r="F104" s="2" t="e" cm="1">
        <f t="array" ref="F104">_xlfn.IFS(B104="Owner Surrender",E104,B104="Stray",E104+6,B104="Stray w/identification",E104+11,B104="Bite",E104+10,B104="Other",E104+30,B104="BAS",E104+56,B104="Seized",E104)</f>
        <v>#N/A</v>
      </c>
      <c r="H104" s="5">
        <f t="shared" si="4"/>
        <v>0</v>
      </c>
      <c r="I104" s="5" t="e">
        <f t="shared" si="3"/>
        <v>#N/A</v>
      </c>
      <c r="J104" s="2"/>
    </row>
    <row r="105" spans="1:11" x14ac:dyDescent="0.2">
      <c r="A105" s="3"/>
      <c r="F105" s="2" t="e" cm="1">
        <f t="array" ref="F105">_xlfn.IFS(B105="Owner Surrender",E105,B105="Stray",E105+6,B105="Stray w/identification",E105+11,B105="Bite",E105+10,B105="Other",E105+30,B105="BAS",E105+56,B105="Seized",E105)</f>
        <v>#N/A</v>
      </c>
      <c r="H105" s="5">
        <f t="shared" si="4"/>
        <v>0</v>
      </c>
      <c r="I105" s="5" t="e">
        <f t="shared" si="3"/>
        <v>#N/A</v>
      </c>
      <c r="J105" s="2"/>
    </row>
    <row r="106" spans="1:11" x14ac:dyDescent="0.2">
      <c r="A106" s="3"/>
      <c r="F106" s="2" t="e" cm="1">
        <f t="array" ref="F106">_xlfn.IFS(B106="Owner Surrender",E106,B106="Stray",E106+6,B106="Stray w/identification",E106+11,B106="Bite",E106+10,B106="Other",E106+30,B106="BAS",E106+56,B106="Seized",E106)</f>
        <v>#N/A</v>
      </c>
      <c r="H106" s="5">
        <f t="shared" si="4"/>
        <v>0</v>
      </c>
      <c r="I106" s="5" t="e">
        <f t="shared" si="3"/>
        <v>#N/A</v>
      </c>
      <c r="J106" s="2"/>
    </row>
    <row r="107" spans="1:11" x14ac:dyDescent="0.2">
      <c r="A107" s="3"/>
      <c r="F107" s="2" t="e" cm="1">
        <f t="array" ref="F107">_xlfn.IFS(B107="Owner Surrender",E107,B107="Stray",E107+6,B107="Stray w/identification",E107+11,B107="Bite",E107+10,B107="Other",E107+30,B107="BAS",E107+56,B107="Seized",E107)</f>
        <v>#N/A</v>
      </c>
      <c r="H107" s="5">
        <f t="shared" si="4"/>
        <v>0</v>
      </c>
      <c r="I107" s="5" t="e">
        <f t="shared" si="3"/>
        <v>#N/A</v>
      </c>
      <c r="J107" s="2"/>
    </row>
    <row r="108" spans="1:11" x14ac:dyDescent="0.2">
      <c r="A108" s="3"/>
      <c r="F108" s="2" t="e" cm="1">
        <f t="array" ref="F108">_xlfn.IFS(B108="Owner Surrender",E108,B108="Stray",E108+6,B108="Stray w/identification",E108+11,B108="Bite",E108+10,B108="Other",E108+30,B108="BAS",E108+56,B108="Seized",E108)</f>
        <v>#N/A</v>
      </c>
      <c r="H108" s="5">
        <f t="shared" si="4"/>
        <v>0</v>
      </c>
      <c r="I108" s="5" t="e">
        <f t="shared" si="3"/>
        <v>#N/A</v>
      </c>
      <c r="J108" s="2"/>
    </row>
    <row r="109" spans="1:11" x14ac:dyDescent="0.2">
      <c r="A109" s="3"/>
      <c r="F109" s="2" t="e" cm="1">
        <f t="array" ref="F109">_xlfn.IFS(B109="Owner Surrender",E109,B109="Stray",E109+6,B109="Stray w/identification",E109+11,B109="Bite",E109+10,B109="Other",E109+30,B109="BAS",E109+56,B109="Seized",E109)</f>
        <v>#N/A</v>
      </c>
      <c r="H109" s="5">
        <f t="shared" si="4"/>
        <v>0</v>
      </c>
      <c r="I109" s="5" t="e">
        <f t="shared" si="3"/>
        <v>#N/A</v>
      </c>
      <c r="J109" s="2"/>
    </row>
    <row r="110" spans="1:11" x14ac:dyDescent="0.2">
      <c r="A110" s="3"/>
      <c r="F110" s="2" t="e" cm="1">
        <f t="array" ref="F110">_xlfn.IFS(B110="Owner Surrender",E110,B110="Stray",E110+6,B110="Stray w/identification",E110+11,B110="Bite",E110+10,B110="Other",E110+30,B110="BAS",E110+56,B110="Seized",E110)</f>
        <v>#N/A</v>
      </c>
      <c r="H110" s="5">
        <f t="shared" si="4"/>
        <v>0</v>
      </c>
      <c r="I110" s="5" t="e">
        <f t="shared" si="3"/>
        <v>#N/A</v>
      </c>
      <c r="J110" s="2"/>
    </row>
    <row r="111" spans="1:11" x14ac:dyDescent="0.2">
      <c r="A111" s="3"/>
      <c r="F111" s="2" t="e" cm="1">
        <f t="array" ref="F111">_xlfn.IFS(B111="Owner Surrender",E111,B111="Stray",E111+6,B111="Stray w/identification",E111+11,B111="Bite",E111+10,B111="Other",E111+30,B111="BAS",E111+56,B111="Seized",E111)</f>
        <v>#N/A</v>
      </c>
      <c r="H111" s="5">
        <f t="shared" si="4"/>
        <v>0</v>
      </c>
      <c r="I111" s="5" t="e">
        <f t="shared" si="3"/>
        <v>#N/A</v>
      </c>
      <c r="J111" s="2"/>
    </row>
    <row r="112" spans="1:11" x14ac:dyDescent="0.2">
      <c r="A112" s="3"/>
      <c r="F112" s="2" t="e" cm="1">
        <f t="array" ref="F112">_xlfn.IFS(B112="Owner Surrender",E112,B112="Stray",E112+6,B112="Stray w/identification",E112+11,B112="Bite",E112+10,B112="Other",E112+30,B112="BAS",E112+56,B112="Seized",E112)</f>
        <v>#N/A</v>
      </c>
      <c r="H112" s="5">
        <f t="shared" si="4"/>
        <v>0</v>
      </c>
      <c r="I112" s="5" t="e">
        <f t="shared" si="3"/>
        <v>#N/A</v>
      </c>
      <c r="J112" s="2"/>
    </row>
    <row r="113" spans="1:12" x14ac:dyDescent="0.2">
      <c r="A113" s="3"/>
      <c r="F113" s="2" t="e" cm="1">
        <f t="array" ref="F113">_xlfn.IFS(B113="Owner Surrender",E113,B113="Stray",E113+6,B113="Stray w/identification",E113+11,B113="Bite",E113+10,B113="Other",E113+30,B113="BAS",E113+56,B113="Seized",E113)</f>
        <v>#N/A</v>
      </c>
      <c r="H113" s="5">
        <f t="shared" si="4"/>
        <v>0</v>
      </c>
      <c r="I113" s="5" t="e">
        <f t="shared" si="3"/>
        <v>#N/A</v>
      </c>
      <c r="J113" s="2"/>
    </row>
    <row r="114" spans="1:12" x14ac:dyDescent="0.2">
      <c r="A114" s="3"/>
      <c r="F114" s="2" t="e" cm="1">
        <f t="array" ref="F114">_xlfn.IFS(B114="Owner Surrender",E114,B114="Stray",E114+6,B114="Stray w/identification",E114+11,B114="Bite",E114+10,B114="Other",E114+30,B114="BAS",E114+56,B114="Seized",E114)</f>
        <v>#N/A</v>
      </c>
      <c r="H114" s="5">
        <f t="shared" si="4"/>
        <v>0</v>
      </c>
      <c r="I114" s="5" t="e">
        <f t="shared" si="3"/>
        <v>#N/A</v>
      </c>
      <c r="J114" s="2"/>
    </row>
    <row r="115" spans="1:12" x14ac:dyDescent="0.2">
      <c r="A115" s="3"/>
      <c r="F115" s="2" t="e" cm="1">
        <f t="array" ref="F115">_xlfn.IFS(B115="Owner Surrender",E115,B115="Stray",E115+6,B115="Stray w/identification",E115+11,B115="Bite",E115+10,B115="Other",E115+30,B115="BAS",E115+56,B115="Seized",E115)</f>
        <v>#N/A</v>
      </c>
      <c r="H115" s="5">
        <f t="shared" si="4"/>
        <v>0</v>
      </c>
      <c r="I115" s="5" t="e">
        <f t="shared" si="3"/>
        <v>#N/A</v>
      </c>
      <c r="J115" s="2"/>
    </row>
    <row r="116" spans="1:12" x14ac:dyDescent="0.2">
      <c r="A116" s="3"/>
      <c r="F116" s="2" t="e" cm="1">
        <f t="array" ref="F116">_xlfn.IFS(B116="Owner Surrender",E116,B116="Stray",E116+6,B116="Stray w/identification",E116+11,B116="Bite",E116+10,B116="Other",E116+30,B116="BAS",E116+56,B116="Seized",E116)</f>
        <v>#N/A</v>
      </c>
      <c r="H116" s="5">
        <f t="shared" si="4"/>
        <v>0</v>
      </c>
      <c r="I116" s="5" t="e">
        <f t="shared" si="3"/>
        <v>#N/A</v>
      </c>
      <c r="J116" s="2"/>
    </row>
    <row r="117" spans="1:12" x14ac:dyDescent="0.2">
      <c r="A117" s="3"/>
      <c r="F117" s="2" t="e" cm="1">
        <f t="array" ref="F117">_xlfn.IFS(B117="Owner Surrender",E117,B117="Stray",E117+6,B117="Stray w/identification",E117+11,B117="Bite",E117+10,B117="Other",E117+30,B117="BAS",E117+56,B117="Seized",E117)</f>
        <v>#N/A</v>
      </c>
      <c r="H117" s="5">
        <f t="shared" si="4"/>
        <v>0</v>
      </c>
      <c r="I117" s="5" t="e">
        <f t="shared" si="3"/>
        <v>#N/A</v>
      </c>
      <c r="J117" s="2"/>
    </row>
    <row r="118" spans="1:12" x14ac:dyDescent="0.2">
      <c r="A118" s="3"/>
      <c r="F118" s="2" t="e" cm="1">
        <f t="array" ref="F118">_xlfn.IFS(B118="Owner Surrender",E118,B118="Stray",E118+6,B118="Stray w/identification",E118+11,B118="Bite",E118+10,B118="Other",E118+30,B118="BAS",E118+56,B118="Seized",E118)</f>
        <v>#N/A</v>
      </c>
      <c r="H118" s="5">
        <f t="shared" si="4"/>
        <v>0</v>
      </c>
      <c r="I118" s="5" t="e">
        <f t="shared" si="3"/>
        <v>#N/A</v>
      </c>
      <c r="J118" s="2"/>
    </row>
    <row r="119" spans="1:12" x14ac:dyDescent="0.2">
      <c r="A119" s="3"/>
      <c r="F119" s="2" t="e" cm="1">
        <f t="array" ref="F119">_xlfn.IFS(B119="Owner Surrender",E119,B119="Stray",E119+6,B119="Stray w/identification",E119+11,B119="Bite",E119+10,B119="Other",E119+30,B119="BAS",E119+56,B119="Seized",E119)</f>
        <v>#N/A</v>
      </c>
      <c r="H119" s="5">
        <f t="shared" si="4"/>
        <v>0</v>
      </c>
      <c r="I119" s="5" t="e">
        <f t="shared" si="3"/>
        <v>#N/A</v>
      </c>
      <c r="J119" s="2"/>
    </row>
    <row r="120" spans="1:12" x14ac:dyDescent="0.2">
      <c r="A120" s="3"/>
      <c r="F120" s="2" t="e" cm="1">
        <f t="array" ref="F120">_xlfn.IFS(B120="Owner Surrender",E120,B120="Stray",E120+6,B120="Stray w/identification",E120+11,B120="Bite",E120+10,B120="Other",E120+30,B120="BAS",E120+56,B120="Seized",E120)</f>
        <v>#N/A</v>
      </c>
      <c r="H120" s="5">
        <f t="shared" si="4"/>
        <v>0</v>
      </c>
      <c r="I120" s="5" t="e">
        <f t="shared" si="3"/>
        <v>#N/A</v>
      </c>
      <c r="J120" s="2"/>
    </row>
    <row r="121" spans="1:12" x14ac:dyDescent="0.2">
      <c r="A121" s="3"/>
      <c r="F121" s="2" t="e" cm="1">
        <f t="array" ref="F121">_xlfn.IFS(B121="Owner Surrender",E121,B121="Stray",E121+6,B121="Stray w/identification",E121+11,B121="Bite",E121+10,B121="Other",E121+30,B121="BAS",E121+56,B121="Seized",E121)</f>
        <v>#N/A</v>
      </c>
      <c r="H121" s="5">
        <f t="shared" si="4"/>
        <v>0</v>
      </c>
      <c r="I121" s="5" t="e">
        <f t="shared" si="3"/>
        <v>#N/A</v>
      </c>
      <c r="J121" s="2"/>
      <c r="L121" s="2"/>
    </row>
    <row r="122" spans="1:12" x14ac:dyDescent="0.2">
      <c r="A122" s="3"/>
      <c r="F122" s="2" t="e" cm="1">
        <f t="array" ref="F122">_xlfn.IFS(B122="Owner Surrender",E122,B122="Stray",E122+6,B122="Stray w/identification",E122+11,B122="Bite",E122+10,B122="Other",E122+30,B122="BAS",E122+56,B122="Seized",E122)</f>
        <v>#N/A</v>
      </c>
      <c r="H122" s="5">
        <f t="shared" si="4"/>
        <v>0</v>
      </c>
      <c r="I122" s="5" t="e">
        <f t="shared" si="3"/>
        <v>#N/A</v>
      </c>
      <c r="J122" s="2"/>
    </row>
    <row r="123" spans="1:12" x14ac:dyDescent="0.2">
      <c r="A123" s="3"/>
      <c r="F123" s="2" t="e" cm="1">
        <f t="array" ref="F123">_xlfn.IFS(B123="Owner Surrender",E123,B123="Stray",E123+6,B123="Stray w/identification",E123+11,B123="Bite",E123+10,B123="Other",E123+30,B123="BAS",E123+56,B123="Seized",E123)</f>
        <v>#N/A</v>
      </c>
      <c r="H123" s="5">
        <f t="shared" si="4"/>
        <v>0</v>
      </c>
      <c r="I123" s="5" t="e">
        <f t="shared" si="3"/>
        <v>#N/A</v>
      </c>
      <c r="J123" s="2"/>
    </row>
    <row r="124" spans="1:12" x14ac:dyDescent="0.2">
      <c r="A124" s="3"/>
      <c r="F124" s="2" t="e" cm="1">
        <f t="array" ref="F124">_xlfn.IFS(B124="Owner Surrender",E124,B124="Stray",E124+6,B124="Stray w/identification",E124+11,B124="Bite",E124+10,B124="Other",E124+30,B124="BAS",E124+56,B124="Seized",E124)</f>
        <v>#N/A</v>
      </c>
      <c r="H124" s="5">
        <f t="shared" si="4"/>
        <v>0</v>
      </c>
      <c r="I124" s="5" t="e">
        <f t="shared" si="3"/>
        <v>#N/A</v>
      </c>
      <c r="J124" s="2"/>
    </row>
    <row r="125" spans="1:12" x14ac:dyDescent="0.2">
      <c r="A125" s="3"/>
      <c r="F125" s="2" t="e" cm="1">
        <f t="array" ref="F125">_xlfn.IFS(B125="Owner Surrender",E125,B125="Stray",E125+6,B125="Stray w/identification",E125+11,B125="Bite",E125+10,B125="Other",E125+30,B125="BAS",E125+56,B125="Seized",E125)</f>
        <v>#N/A</v>
      </c>
      <c r="H125" s="5">
        <f t="shared" si="4"/>
        <v>0</v>
      </c>
      <c r="I125" s="5" t="e">
        <f t="shared" si="3"/>
        <v>#N/A</v>
      </c>
      <c r="J125" s="2"/>
    </row>
    <row r="126" spans="1:12" x14ac:dyDescent="0.2">
      <c r="A126" s="3"/>
      <c r="F126" s="2" t="e" cm="1">
        <f t="array" ref="F126">_xlfn.IFS(B126="Owner Surrender",E126,B126="Stray",E126+6,B126="Stray w/identification",E126+11,B126="Bite",E126+10,B126="Other",E126+30,B126="BAS",E126+56,B126="Seized",E126)</f>
        <v>#N/A</v>
      </c>
      <c r="H126" s="5">
        <f t="shared" si="4"/>
        <v>0</v>
      </c>
      <c r="I126" s="5" t="e">
        <f t="shared" si="3"/>
        <v>#N/A</v>
      </c>
      <c r="J126" s="2"/>
    </row>
    <row r="127" spans="1:12" x14ac:dyDescent="0.2">
      <c r="A127" s="3"/>
      <c r="F127" s="2" t="e" cm="1">
        <f t="array" ref="F127">_xlfn.IFS(B127="Owner Surrender",E127,B127="Stray",E127+6,B127="Stray w/identification",E127+11,B127="Bite",E127+10,B127="Other",E127+30,B127="BAS",E127+56,B127="Seized",E127)</f>
        <v>#N/A</v>
      </c>
      <c r="H127" s="5">
        <f t="shared" si="4"/>
        <v>0</v>
      </c>
      <c r="I127" s="5" t="e">
        <f t="shared" si="3"/>
        <v>#N/A</v>
      </c>
      <c r="J127" s="2"/>
    </row>
    <row r="128" spans="1:12" x14ac:dyDescent="0.2">
      <c r="A128" s="3"/>
      <c r="F128" s="2" t="e" cm="1">
        <f t="array" ref="F128">_xlfn.IFS(B128="Owner Surrender",E128,B128="Stray",E128+6,B128="Stray w/identification",E128+11,B128="Bite",E128+10,B128="Other",E128+30,B128="BAS",E128+56,B128="Seized",E128)</f>
        <v>#N/A</v>
      </c>
      <c r="H128" s="5">
        <f t="shared" si="4"/>
        <v>0</v>
      </c>
      <c r="I128" s="5" t="e">
        <f t="shared" si="3"/>
        <v>#N/A</v>
      </c>
      <c r="J128" s="2"/>
    </row>
    <row r="129" spans="1:12" x14ac:dyDescent="0.2">
      <c r="A129" s="3"/>
      <c r="F129" s="2" t="e" cm="1">
        <f t="array" ref="F129">_xlfn.IFS(B129="Owner Surrender",E129,B129="Stray",E129+6,B129="Stray w/identification",E129+11,B129="Bite",E129+10,B129="Other",E129+30,B129="BAS",E129+56,B129="Seized",E129)</f>
        <v>#N/A</v>
      </c>
      <c r="H129" s="5">
        <f t="shared" si="4"/>
        <v>0</v>
      </c>
      <c r="I129" s="5" t="e">
        <f t="shared" si="3"/>
        <v>#N/A</v>
      </c>
      <c r="J129" s="2"/>
    </row>
    <row r="130" spans="1:12" x14ac:dyDescent="0.2">
      <c r="A130" s="3"/>
      <c r="F130" s="2" t="e" cm="1">
        <f t="array" ref="F130">_xlfn.IFS(B130="Owner Surrender",E130,B130="Stray",E130+6,B130="Stray w/identification",E130+11,B130="Bite",E130+10,B130="Other",E130+30,B130="BAS",E130+56,B130="Seized",E130)</f>
        <v>#N/A</v>
      </c>
      <c r="H130" s="5">
        <f t="shared" si="4"/>
        <v>0</v>
      </c>
      <c r="I130" s="5" t="e">
        <f t="shared" si="3"/>
        <v>#N/A</v>
      </c>
      <c r="J130" s="2"/>
    </row>
    <row r="131" spans="1:12" x14ac:dyDescent="0.2">
      <c r="A131" s="3"/>
      <c r="F131" s="2" t="e" cm="1">
        <f t="array" ref="F131">_xlfn.IFS(B131="Owner Surrender",E131,B131="Stray",E131+6,B131="Stray w/identification",E131+11,B131="Bite",E131+10,B131="Other",E131+30,B131="BAS",E131+56,B131="Seized",E131)</f>
        <v>#N/A</v>
      </c>
      <c r="H131" s="5">
        <f t="shared" si="4"/>
        <v>0</v>
      </c>
      <c r="I131" s="5" t="e">
        <f t="shared" si="3"/>
        <v>#N/A</v>
      </c>
      <c r="J131" s="2"/>
    </row>
    <row r="132" spans="1:12" x14ac:dyDescent="0.2">
      <c r="A132" s="3"/>
      <c r="F132" s="2" t="e" cm="1">
        <f t="array" ref="F132">_xlfn.IFS(B132="Owner Surrender",E132,B132="Stray",E132+6,B132="Stray w/identification",E132+11,B132="Bite",E132+10,B132="Other",E132+30,B132="BAS",E132+56,B132="Seized",E132)</f>
        <v>#N/A</v>
      </c>
      <c r="H132" s="5">
        <f t="shared" si="4"/>
        <v>0</v>
      </c>
      <c r="I132" s="5" t="e">
        <f t="shared" ref="I132:I195" si="5">G132-F132</f>
        <v>#N/A</v>
      </c>
      <c r="J132" s="2"/>
    </row>
    <row r="133" spans="1:12" x14ac:dyDescent="0.2">
      <c r="A133" s="3"/>
      <c r="F133" s="2" t="e" cm="1">
        <f t="array" ref="F133">_xlfn.IFS(B133="Owner Surrender",E133,B133="Stray",E133+6,B133="Stray w/identification",E133+11,B133="Bite",E133+10,B133="Other",E133+30,B133="BAS",E133+56,B133="Seized",E133)</f>
        <v>#N/A</v>
      </c>
      <c r="H133" s="5">
        <f t="shared" si="4"/>
        <v>0</v>
      </c>
      <c r="I133" s="5" t="e">
        <f t="shared" si="5"/>
        <v>#N/A</v>
      </c>
      <c r="J133" s="2"/>
    </row>
    <row r="134" spans="1:12" x14ac:dyDescent="0.2">
      <c r="A134" s="3"/>
      <c r="F134" s="2" t="e" cm="1">
        <f t="array" ref="F134">_xlfn.IFS(B134="Owner Surrender",E134,B134="Stray",E134+6,B134="Stray w/identification",E134+11,B134="Bite",E134+10,B134="Other",E134+30,B134="BAS",E134+56,B134="Seized",E134)</f>
        <v>#N/A</v>
      </c>
      <c r="I134" s="5" t="e">
        <f t="shared" si="5"/>
        <v>#N/A</v>
      </c>
      <c r="J134" s="2"/>
    </row>
    <row r="135" spans="1:12" x14ac:dyDescent="0.2">
      <c r="A135" s="3"/>
      <c r="F135" s="2" t="e" cm="1">
        <f t="array" ref="F135">_xlfn.IFS(B135="Owner Surrender",E135,B135="Stray",E135+6,B135="Stray w/identification",E135+11,B135="Bite",E135+10,B135="Other",E135+30,B135="BAS",E135+56,B135="Seized",E135)</f>
        <v>#N/A</v>
      </c>
      <c r="H135" s="5">
        <f t="shared" ref="H135:H141" si="6">+G135-E135</f>
        <v>0</v>
      </c>
      <c r="I135" s="5" t="e">
        <f t="shared" si="5"/>
        <v>#N/A</v>
      </c>
      <c r="J135" s="2"/>
    </row>
    <row r="136" spans="1:12" x14ac:dyDescent="0.2">
      <c r="A136" s="3"/>
      <c r="F136" s="2" t="e" cm="1">
        <f t="array" ref="F136">_xlfn.IFS(B136="Owner Surrender",E136,B136="Stray",E136+6,B136="Stray w/identification",E136+11,B136="Bite",E136+10,B136="Other",E136+30,B136="BAS",E136+56,B136="Seized",E136)</f>
        <v>#N/A</v>
      </c>
      <c r="H136" s="5">
        <f t="shared" si="6"/>
        <v>0</v>
      </c>
      <c r="I136" s="5" t="e">
        <f t="shared" si="5"/>
        <v>#N/A</v>
      </c>
      <c r="J136" s="2"/>
    </row>
    <row r="137" spans="1:12" x14ac:dyDescent="0.2">
      <c r="A137" s="3"/>
      <c r="F137" s="2" t="e" cm="1">
        <f t="array" ref="F137">_xlfn.IFS(B137="Owner Surrender",E137,B137="Stray",E137+6,B137="Stray w/identification",E137+11,B137="Bite",E137+10,B137="Other",E137+30,B137="BAS",E137+56,B137="Seized",E137)</f>
        <v>#N/A</v>
      </c>
      <c r="H137" s="5">
        <f t="shared" si="6"/>
        <v>0</v>
      </c>
      <c r="I137" s="5" t="e">
        <f t="shared" si="5"/>
        <v>#N/A</v>
      </c>
      <c r="J137" s="2"/>
    </row>
    <row r="138" spans="1:12" x14ac:dyDescent="0.2">
      <c r="A138" s="3"/>
      <c r="F138" s="2" t="e" cm="1">
        <f t="array" ref="F138">_xlfn.IFS(B138="Owner Surrender",E138,B138="Stray",E138+6,B138="Stray w/identification",E138+11,B138="Bite",E138+10,B138="Other",E138+30,B138="BAS",E138+56,B138="Seized",E138)</f>
        <v>#N/A</v>
      </c>
      <c r="H138" s="5">
        <f t="shared" si="6"/>
        <v>0</v>
      </c>
      <c r="I138" s="5" t="e">
        <f t="shared" si="5"/>
        <v>#N/A</v>
      </c>
      <c r="J138" s="2"/>
    </row>
    <row r="139" spans="1:12" x14ac:dyDescent="0.2">
      <c r="A139" s="3"/>
      <c r="F139" s="2" t="e" cm="1">
        <f t="array" ref="F139">_xlfn.IFS(B139="Owner Surrender",E139,B139="Stray",E139+6,B139="Stray w/identification",E139+11,B139="Bite",E139+10,B139="Other",E139+30,B139="BAS",E139+56,B139="Seized",E139)</f>
        <v>#N/A</v>
      </c>
      <c r="H139" s="5">
        <f t="shared" si="6"/>
        <v>0</v>
      </c>
      <c r="I139" s="5" t="e">
        <f t="shared" si="5"/>
        <v>#N/A</v>
      </c>
      <c r="J139" s="2"/>
    </row>
    <row r="140" spans="1:12" x14ac:dyDescent="0.2">
      <c r="A140" s="3"/>
      <c r="F140" s="2" t="e" cm="1">
        <f t="array" ref="F140">_xlfn.IFS(B140="Owner Surrender",E140,B140="Stray",E140+6,B140="Stray w/identification",E140+11,B140="Bite",E140+10,B140="Other",E140+30,B140="BAS",E140+56,B140="Seized",E140)</f>
        <v>#N/A</v>
      </c>
      <c r="H140" s="5">
        <f t="shared" si="6"/>
        <v>0</v>
      </c>
      <c r="I140" s="5" t="e">
        <f t="shared" si="5"/>
        <v>#N/A</v>
      </c>
      <c r="J140" s="2"/>
      <c r="K140" s="2"/>
    </row>
    <row r="141" spans="1:12" x14ac:dyDescent="0.2">
      <c r="A141" s="3"/>
      <c r="F141" s="2" t="e" cm="1">
        <f t="array" ref="F141">_xlfn.IFS(B141="Owner Surrender",E141,B141="Stray",E141+6,B141="Stray w/identification",E141+11,B141="Bite",E141+10,B141="Other",E141+30,B141="BAS",E141+56,B141="Seized",E141)</f>
        <v>#N/A</v>
      </c>
      <c r="H141" s="5">
        <f t="shared" si="6"/>
        <v>0</v>
      </c>
      <c r="I141" s="5" t="e">
        <f t="shared" si="5"/>
        <v>#N/A</v>
      </c>
      <c r="J141" s="2"/>
    </row>
    <row r="142" spans="1:12" x14ac:dyDescent="0.2">
      <c r="A142" s="3"/>
      <c r="F142" s="2" t="e" cm="1">
        <f t="array" ref="F142">_xlfn.IFS(B142="Owner Surrender",E142,B142="Stray",E142+6,B142="Stray w/identification",E142+11,B142="Bite",E142+10,B142="Other",E142+30,B142="BAS",E142+56,B142="Seized",E142)</f>
        <v>#N/A</v>
      </c>
      <c r="I142" s="5" t="e">
        <f t="shared" si="5"/>
        <v>#N/A</v>
      </c>
      <c r="J142" s="2"/>
      <c r="L142" s="2"/>
    </row>
    <row r="143" spans="1:12" x14ac:dyDescent="0.2">
      <c r="A143" s="3"/>
      <c r="F143" s="2" t="e" cm="1">
        <f t="array" ref="F143">_xlfn.IFS(B143="Owner Surrender",E143,B143="Stray",E143+6,B143="Stray w/identification",E143+11,B143="Bite",E143+10,B143="Other",E143+30,B143="BAS",E143+56,B143="Seized",E143)</f>
        <v>#N/A</v>
      </c>
      <c r="H143" s="5">
        <f t="shared" ref="H143:H150" si="7">+G143-E143</f>
        <v>0</v>
      </c>
      <c r="I143" s="5" t="e">
        <f t="shared" si="5"/>
        <v>#N/A</v>
      </c>
      <c r="J143" s="2"/>
    </row>
    <row r="144" spans="1:12" x14ac:dyDescent="0.2">
      <c r="A144" s="3"/>
      <c r="F144" s="2" t="e" cm="1">
        <f t="array" ref="F144">_xlfn.IFS(B144="Owner Surrender",E144,B144="Stray",E144+6,B144="Stray w/identification",E144+11,B144="Bite",E144+10,B144="Other",E144+30,B144="BAS",E144+56,B144="Seized",E144)</f>
        <v>#N/A</v>
      </c>
      <c r="H144" s="5">
        <f t="shared" si="7"/>
        <v>0</v>
      </c>
      <c r="I144" s="5" t="e">
        <f t="shared" si="5"/>
        <v>#N/A</v>
      </c>
      <c r="J144" s="2"/>
    </row>
    <row r="145" spans="1:12" x14ac:dyDescent="0.2">
      <c r="A145" s="3"/>
      <c r="F145" s="2" t="e" cm="1">
        <f t="array" ref="F145">_xlfn.IFS(B145="Owner Surrender",E145,B145="Stray",E145+6,B145="Stray w/identification",E145+11,B145="Bite",E145+10,B145="Other",E145+30,B145="BAS",E145+56,B145="Seized",E145)</f>
        <v>#N/A</v>
      </c>
      <c r="H145" s="5">
        <f t="shared" si="7"/>
        <v>0</v>
      </c>
      <c r="I145" s="5" t="e">
        <f t="shared" si="5"/>
        <v>#N/A</v>
      </c>
      <c r="J145" s="2"/>
    </row>
    <row r="146" spans="1:12" x14ac:dyDescent="0.2">
      <c r="A146" s="3"/>
      <c r="F146" s="2" t="e" cm="1">
        <f t="array" ref="F146">_xlfn.IFS(B146="Owner Surrender",E146,B146="Stray",E146+6,B146="Stray w/identification",E146+11,B146="Bite",E146+10,B146="Other",E146+30,B146="BAS",E146+56,B146="Seized",E146)</f>
        <v>#N/A</v>
      </c>
      <c r="H146" s="5">
        <f t="shared" si="7"/>
        <v>0</v>
      </c>
      <c r="I146" s="5" t="e">
        <f t="shared" si="5"/>
        <v>#N/A</v>
      </c>
      <c r="J146" s="2"/>
      <c r="K146" s="2"/>
      <c r="L146" s="2"/>
    </row>
    <row r="147" spans="1:12" x14ac:dyDescent="0.2">
      <c r="A147" s="3"/>
      <c r="F147" s="2" t="e" cm="1">
        <f t="array" ref="F147">_xlfn.IFS(B147="Owner Surrender",E147,B147="Stray",E147+6,B147="Stray w/identification",E147+11,B147="Bite",E147+10,B147="Other",E147+30,B147="BAS",E147+56,B147="Seized",E147)</f>
        <v>#N/A</v>
      </c>
      <c r="H147" s="5">
        <f t="shared" si="7"/>
        <v>0</v>
      </c>
      <c r="I147" s="5" t="e">
        <f t="shared" si="5"/>
        <v>#N/A</v>
      </c>
      <c r="J147" s="2"/>
      <c r="K147" s="2"/>
    </row>
    <row r="148" spans="1:12" x14ac:dyDescent="0.2">
      <c r="A148" s="3"/>
      <c r="F148" s="2" t="e" cm="1">
        <f t="array" ref="F148">_xlfn.IFS(B148="Owner Surrender",E148,B148="Stray",E148+6,B148="Stray w/identification",E148+11,B148="Bite",E148+10,B148="Other",E148+30,B148="BAS",E148+56,B148="Seized",E148)</f>
        <v>#N/A</v>
      </c>
      <c r="H148" s="5">
        <f t="shared" si="7"/>
        <v>0</v>
      </c>
      <c r="I148" s="5" t="e">
        <f t="shared" si="5"/>
        <v>#N/A</v>
      </c>
      <c r="J148" s="2"/>
    </row>
    <row r="149" spans="1:12" x14ac:dyDescent="0.2">
      <c r="A149" s="3"/>
      <c r="F149" s="2" t="e" cm="1">
        <f t="array" ref="F149">_xlfn.IFS(B149="Owner Surrender",E149,B149="Stray",E149+6,B149="Stray w/identification",E149+11,B149="Bite",E149+10,B149="Other",E149+30,B149="BAS",E149+56,B149="Seized",E149)</f>
        <v>#N/A</v>
      </c>
      <c r="H149" s="5">
        <f t="shared" si="7"/>
        <v>0</v>
      </c>
      <c r="I149" s="5" t="e">
        <f t="shared" si="5"/>
        <v>#N/A</v>
      </c>
      <c r="J149" s="2"/>
    </row>
    <row r="150" spans="1:12" x14ac:dyDescent="0.2">
      <c r="A150" s="3"/>
      <c r="F150" s="2" t="e" cm="1">
        <f t="array" ref="F150">_xlfn.IFS(B150="Owner Surrender",E150,B150="Stray",E150+6,B150="Stray w/identification",E150+11,B150="Bite",E150+10,B150="Other",E150+30,B150="BAS",E150+56,B150="Seized",E150)</f>
        <v>#N/A</v>
      </c>
      <c r="H150" s="5">
        <f t="shared" si="7"/>
        <v>0</v>
      </c>
      <c r="I150" s="5" t="e">
        <f t="shared" si="5"/>
        <v>#N/A</v>
      </c>
      <c r="J150" s="2"/>
    </row>
    <row r="151" spans="1:12" x14ac:dyDescent="0.2">
      <c r="A151" s="3"/>
      <c r="F151" s="2" t="e" cm="1">
        <f t="array" ref="F151">_xlfn.IFS(B151="Owner Surrender",E151,B151="Stray",E151+6,B151="Stray w/identification",E151+11,B151="Bite",E151+10,B151="Other",E151+30,B151="BAS",E151+56,B151="Seized",E151)</f>
        <v>#N/A</v>
      </c>
      <c r="I151" s="5" t="e">
        <f t="shared" si="5"/>
        <v>#N/A</v>
      </c>
      <c r="J151" s="2"/>
      <c r="K151" s="2"/>
      <c r="L151" s="2"/>
    </row>
    <row r="152" spans="1:12" x14ac:dyDescent="0.2">
      <c r="A152" s="3"/>
      <c r="F152" s="2" t="e" cm="1">
        <f t="array" ref="F152">_xlfn.IFS(B152="Owner Surrender",E152,B152="Stray",E152+6,B152="Stray w/identification",E152+11,B152="Bite",E152+10,B152="Other",E152+30,B152="BAS",E152+56,B152="Seized",E152)</f>
        <v>#N/A</v>
      </c>
      <c r="H152" s="5">
        <f t="shared" ref="H152:H173" si="8">+G152-E152</f>
        <v>0</v>
      </c>
      <c r="I152" s="5" t="e">
        <f t="shared" si="5"/>
        <v>#N/A</v>
      </c>
      <c r="J152" s="2"/>
    </row>
    <row r="153" spans="1:12" x14ac:dyDescent="0.2">
      <c r="A153" s="3"/>
      <c r="F153" s="2" t="e" cm="1">
        <f t="array" ref="F153">_xlfn.IFS(B153="Owner Surrender",E153,B153="Stray",E153+6,B153="Stray w/identification",E153+11,B153="Bite",E153+10,B153="Other",E153+30,B153="BAS",E153+56,B153="Seized",E153)</f>
        <v>#N/A</v>
      </c>
      <c r="H153" s="5">
        <f t="shared" si="8"/>
        <v>0</v>
      </c>
      <c r="I153" s="5" t="e">
        <f t="shared" si="5"/>
        <v>#N/A</v>
      </c>
      <c r="J153" s="2"/>
    </row>
    <row r="154" spans="1:12" x14ac:dyDescent="0.2">
      <c r="A154" s="3"/>
      <c r="F154" s="2" t="e" cm="1">
        <f t="array" ref="F154">_xlfn.IFS(B154="Owner Surrender",E154,B154="Stray",E154+6,B154="Stray w/identification",E154+11,B154="Bite",E154+10,B154="Other",E154+30,B154="BAS",E154+56,B154="Seized",E154)</f>
        <v>#N/A</v>
      </c>
      <c r="H154" s="5">
        <f t="shared" si="8"/>
        <v>0</v>
      </c>
      <c r="I154" s="5" t="e">
        <f t="shared" si="5"/>
        <v>#N/A</v>
      </c>
      <c r="J154" s="2"/>
      <c r="L154" s="2"/>
    </row>
    <row r="155" spans="1:12" x14ac:dyDescent="0.2">
      <c r="A155" s="3"/>
      <c r="F155" s="2" t="e" cm="1">
        <f t="array" ref="F155">_xlfn.IFS(B155="Owner Surrender",E155,B155="Stray",E155+6,B155="Stray w/identification",E155+11,B155="Bite",E155+10,B155="Other",E155+30,B155="BAS",E155+56,B155="Seized",E155)</f>
        <v>#N/A</v>
      </c>
      <c r="H155" s="5">
        <f t="shared" si="8"/>
        <v>0</v>
      </c>
      <c r="I155" s="5" t="e">
        <f t="shared" si="5"/>
        <v>#N/A</v>
      </c>
      <c r="J155" s="2"/>
    </row>
    <row r="156" spans="1:12" x14ac:dyDescent="0.2">
      <c r="A156" s="3"/>
      <c r="F156" s="2" t="e" cm="1">
        <f t="array" ref="F156">_xlfn.IFS(B156="Owner Surrender",E156,B156="Stray",E156+6,B156="Stray w/identification",E156+11,B156="Bite",E156+10,B156="Other",E156+30,B156="BAS",E156+56,B156="Seized",E156)</f>
        <v>#N/A</v>
      </c>
      <c r="H156" s="5">
        <f t="shared" si="8"/>
        <v>0</v>
      </c>
      <c r="I156" s="5" t="e">
        <f t="shared" si="5"/>
        <v>#N/A</v>
      </c>
      <c r="J156" s="2"/>
    </row>
    <row r="157" spans="1:12" x14ac:dyDescent="0.2">
      <c r="A157" s="3"/>
      <c r="F157" s="2" t="e" cm="1">
        <f t="array" ref="F157">_xlfn.IFS(B157="Owner Surrender",E157,B157="Stray",E157+6,B157="Stray w/identification",E157+11,B157="Bite",E157+10,B157="Other",E157+30,B157="BAS",E157+56,B157="Seized",E157)</f>
        <v>#N/A</v>
      </c>
      <c r="H157" s="5">
        <f t="shared" si="8"/>
        <v>0</v>
      </c>
      <c r="I157" s="5" t="e">
        <f t="shared" si="5"/>
        <v>#N/A</v>
      </c>
      <c r="J157" s="2"/>
    </row>
    <row r="158" spans="1:12" x14ac:dyDescent="0.2">
      <c r="A158" s="3"/>
      <c r="F158" s="2" t="e" cm="1">
        <f t="array" ref="F158">_xlfn.IFS(B158="Owner Surrender",E158,B158="Stray",E158+6,B158="Stray w/identification",E158+11,B158="Bite",E158+10,B158="Other",E158+30,B158="BAS",E158+56,B158="Seized",E158)</f>
        <v>#N/A</v>
      </c>
      <c r="H158" s="5">
        <f t="shared" si="8"/>
        <v>0</v>
      </c>
      <c r="I158" s="5" t="e">
        <f t="shared" si="5"/>
        <v>#N/A</v>
      </c>
      <c r="J158" s="2"/>
    </row>
    <row r="159" spans="1:12" x14ac:dyDescent="0.2">
      <c r="A159" s="3"/>
      <c r="F159" s="2" t="e" cm="1">
        <f t="array" ref="F159">_xlfn.IFS(B159="Owner Surrender",E159,B159="Stray",E159+6,B159="Stray w/identification",E159+11,B159="Bite",E159+10,B159="Other",E159+30,B159="BAS",E159+56,B159="Seized",E159)</f>
        <v>#N/A</v>
      </c>
      <c r="H159" s="5">
        <f t="shared" si="8"/>
        <v>0</v>
      </c>
      <c r="I159" s="5" t="e">
        <f t="shared" si="5"/>
        <v>#N/A</v>
      </c>
      <c r="J159" s="2"/>
    </row>
    <row r="160" spans="1:12" x14ac:dyDescent="0.2">
      <c r="A160" s="3"/>
      <c r="F160" s="2" t="e" cm="1">
        <f t="array" ref="F160">_xlfn.IFS(B160="Owner Surrender",E160,B160="Stray",E160+6,B160="Stray w/identification",E160+11,B160="Bite",E160+10,B160="Other",E160+30,B160="BAS",E160+56,B160="Seized",E160)</f>
        <v>#N/A</v>
      </c>
      <c r="H160" s="5">
        <f t="shared" si="8"/>
        <v>0</v>
      </c>
      <c r="I160" s="5" t="e">
        <f t="shared" si="5"/>
        <v>#N/A</v>
      </c>
      <c r="J160" s="2"/>
    </row>
    <row r="161" spans="1:12" x14ac:dyDescent="0.2">
      <c r="A161" s="3"/>
      <c r="F161" s="2" t="e" cm="1">
        <f t="array" ref="F161">_xlfn.IFS(B161="Owner Surrender",E161,B161="Stray",E161+6,B161="Stray w/identification",E161+11,B161="Bite",E161+10,B161="Other",E161+30,B161="BAS",E161+56,B161="Seized",E161)</f>
        <v>#N/A</v>
      </c>
      <c r="H161" s="5">
        <f t="shared" si="8"/>
        <v>0</v>
      </c>
      <c r="I161" s="5" t="e">
        <f t="shared" si="5"/>
        <v>#N/A</v>
      </c>
      <c r="J161" s="2"/>
    </row>
    <row r="162" spans="1:12" x14ac:dyDescent="0.2">
      <c r="A162" s="3"/>
      <c r="F162" s="2" t="e" cm="1">
        <f t="array" ref="F162">_xlfn.IFS(B162="Owner Surrender",E162,B162="Stray",E162+6,B162="Stray w/identification",E162+11,B162="Bite",E162+10,B162="Other",E162+30,B162="BAS",E162+56,B162="Seized",E162)</f>
        <v>#N/A</v>
      </c>
      <c r="H162" s="5">
        <f t="shared" si="8"/>
        <v>0</v>
      </c>
      <c r="I162" s="5" t="e">
        <f t="shared" si="5"/>
        <v>#N/A</v>
      </c>
      <c r="J162" s="2"/>
    </row>
    <row r="163" spans="1:12" x14ac:dyDescent="0.2">
      <c r="A163" s="3"/>
      <c r="F163" s="2" t="e" cm="1">
        <f t="array" ref="F163">_xlfn.IFS(B163="Owner Surrender",E163,B163="Stray",E163+6,B163="Stray w/identification",E163+11,B163="Bite",E163+10,B163="Other",E163+30,B163="BAS",E163+56,B163="Seized",E163)</f>
        <v>#N/A</v>
      </c>
      <c r="H163" s="5">
        <f t="shared" si="8"/>
        <v>0</v>
      </c>
      <c r="I163" s="5" t="e">
        <f t="shared" si="5"/>
        <v>#N/A</v>
      </c>
      <c r="J163" s="2"/>
    </row>
    <row r="164" spans="1:12" x14ac:dyDescent="0.2">
      <c r="A164" s="3"/>
      <c r="F164" s="2" t="e" cm="1">
        <f t="array" ref="F164">_xlfn.IFS(B164="Owner Surrender",E164,B164="Stray",E164+6,B164="Stray w/identification",E164+11,B164="Bite",E164+10,B164="Other",E164+30,B164="BAS",E164+56,B164="Seized",E164)</f>
        <v>#N/A</v>
      </c>
      <c r="H164" s="5">
        <f t="shared" si="8"/>
        <v>0</v>
      </c>
      <c r="I164" s="5" t="e">
        <f t="shared" si="5"/>
        <v>#N/A</v>
      </c>
      <c r="J164" s="2"/>
    </row>
    <row r="165" spans="1:12" x14ac:dyDescent="0.2">
      <c r="A165" s="3"/>
      <c r="F165" s="2" t="e" cm="1">
        <f t="array" ref="F165">_xlfn.IFS(B165="Owner Surrender",E165,B165="Stray",E165+6,B165="Stray w/identification",E165+11,B165="Bite",E165+10,B165="Other",E165+30,B165="BAS",E165+56,B165="Seized",E165)</f>
        <v>#N/A</v>
      </c>
      <c r="H165" s="5">
        <f t="shared" si="8"/>
        <v>0</v>
      </c>
      <c r="I165" s="5" t="e">
        <f t="shared" si="5"/>
        <v>#N/A</v>
      </c>
      <c r="J165" s="2"/>
    </row>
    <row r="166" spans="1:12" x14ac:dyDescent="0.2">
      <c r="A166" s="3"/>
      <c r="F166" s="2" t="e" cm="1">
        <f t="array" ref="F166">_xlfn.IFS(B166="Owner Surrender",E166,B166="Stray",E166+6,B166="Stray w/identification",E166+11,B166="Bite",E166+10,B166="Other",E166+30,B166="BAS",E166+56,B166="Seized",E166)</f>
        <v>#N/A</v>
      </c>
      <c r="H166" s="5">
        <f t="shared" si="8"/>
        <v>0</v>
      </c>
      <c r="I166" s="5" t="e">
        <f t="shared" si="5"/>
        <v>#N/A</v>
      </c>
      <c r="J166" s="2"/>
    </row>
    <row r="167" spans="1:12" x14ac:dyDescent="0.2">
      <c r="A167" s="3"/>
      <c r="F167" s="2" t="e" cm="1">
        <f t="array" ref="F167">_xlfn.IFS(B167="Owner Surrender",E167,B167="Stray",E167+6,B167="Stray w/identification",E167+11,B167="Bite",E167+10,B167="Other",E167+30,B167="BAS",E167+56,B167="Seized",E167)</f>
        <v>#N/A</v>
      </c>
      <c r="H167" s="5">
        <f t="shared" si="8"/>
        <v>0</v>
      </c>
      <c r="I167" s="5" t="e">
        <f t="shared" si="5"/>
        <v>#N/A</v>
      </c>
      <c r="J167" s="2"/>
    </row>
    <row r="168" spans="1:12" x14ac:dyDescent="0.2">
      <c r="A168" s="3"/>
      <c r="F168" s="2" t="e" cm="1">
        <f t="array" ref="F168">_xlfn.IFS(B168="Owner Surrender",E168,B168="Stray",E168+6,B168="Stray w/identification",E168+11,B168="Bite",E168+10,B168="Other",E168+30,B168="BAS",E168+56,B168="Seized",E168)</f>
        <v>#N/A</v>
      </c>
      <c r="H168" s="5">
        <f t="shared" si="8"/>
        <v>0</v>
      </c>
      <c r="I168" s="5" t="e">
        <f t="shared" si="5"/>
        <v>#N/A</v>
      </c>
      <c r="J168" s="2"/>
    </row>
    <row r="169" spans="1:12" x14ac:dyDescent="0.2">
      <c r="A169" s="3"/>
      <c r="F169" s="2" t="e" cm="1">
        <f t="array" ref="F169">_xlfn.IFS(B169="Owner Surrender",E169,B169="Stray",E169+6,B169="Stray w/identification",E169+11,B169="Bite",E169+10,B169="Other",E169+30,B169="BAS",E169+56,B169="Seized",E169)</f>
        <v>#N/A</v>
      </c>
      <c r="H169" s="5">
        <f t="shared" si="8"/>
        <v>0</v>
      </c>
      <c r="I169" s="5" t="e">
        <f t="shared" si="5"/>
        <v>#N/A</v>
      </c>
      <c r="J169" s="2"/>
    </row>
    <row r="170" spans="1:12" x14ac:dyDescent="0.2">
      <c r="A170" s="3"/>
      <c r="F170" s="2" t="e" cm="1">
        <f t="array" ref="F170">_xlfn.IFS(B170="Owner Surrender",E170,B170="Stray",E170+6,B170="Stray w/identification",E170+11,B170="Bite",E170+10,B170="Other",E170+30,B170="BAS",E170+56,B170="Seized",E170)</f>
        <v>#N/A</v>
      </c>
      <c r="H170" s="5">
        <f t="shared" si="8"/>
        <v>0</v>
      </c>
      <c r="I170" s="5" t="e">
        <f t="shared" si="5"/>
        <v>#N/A</v>
      </c>
      <c r="J170" s="2"/>
    </row>
    <row r="171" spans="1:12" x14ac:dyDescent="0.2">
      <c r="A171" s="3"/>
      <c r="F171" s="2" t="e" cm="1">
        <f t="array" ref="F171">_xlfn.IFS(B171="Owner Surrender",E171,B171="Stray",E171+6,B171="Stray w/identification",E171+11,B171="Bite",E171+10,B171="Other",E171+30,B171="BAS",E171+56,B171="Seized",E171)</f>
        <v>#N/A</v>
      </c>
      <c r="H171" s="5">
        <f t="shared" si="8"/>
        <v>0</v>
      </c>
      <c r="I171" s="5" t="e">
        <f t="shared" si="5"/>
        <v>#N/A</v>
      </c>
      <c r="J171" s="2"/>
    </row>
    <row r="172" spans="1:12" x14ac:dyDescent="0.2">
      <c r="A172" s="3"/>
      <c r="F172" s="2" t="e" cm="1">
        <f t="array" ref="F172">_xlfn.IFS(B172="Owner Surrender",E172,B172="Stray",E172+6,B172="Stray w/identification",E172+11,B172="Bite",E172+10,B172="Other",E172+30,B172="BAS",E172+56,B172="Seized",E172)</f>
        <v>#N/A</v>
      </c>
      <c r="H172" s="5">
        <f t="shared" si="8"/>
        <v>0</v>
      </c>
      <c r="I172" s="5" t="e">
        <f t="shared" si="5"/>
        <v>#N/A</v>
      </c>
      <c r="J172" s="2"/>
    </row>
    <row r="173" spans="1:12" x14ac:dyDescent="0.2">
      <c r="A173" s="3"/>
      <c r="F173" s="2" t="e" cm="1">
        <f t="array" ref="F173">_xlfn.IFS(B173="Owner Surrender",E173,B173="Stray",E173+6,B173="Stray w/identification",E173+11,B173="Bite",E173+10,B173="Other",E173+30,B173="BAS",E173+56,B173="Seized",E173)</f>
        <v>#N/A</v>
      </c>
      <c r="H173" s="5">
        <f t="shared" si="8"/>
        <v>0</v>
      </c>
      <c r="I173" s="5" t="e">
        <f t="shared" si="5"/>
        <v>#N/A</v>
      </c>
      <c r="J173" s="2"/>
    </row>
    <row r="174" spans="1:12" x14ac:dyDescent="0.2">
      <c r="A174" s="3"/>
      <c r="F174" s="2" t="e" cm="1">
        <f t="array" ref="F174">_xlfn.IFS(B174="Owner Surrender",E174,B174="Stray",E174+6,B174="Stray w/identification",E174+11,B174="Bite",E174+10,B174="Other",E174+30,B174="BAS",E174+56,B174="Seized",E174)</f>
        <v>#N/A</v>
      </c>
      <c r="I174" s="5" t="e">
        <f t="shared" si="5"/>
        <v>#N/A</v>
      </c>
      <c r="J174" s="2"/>
      <c r="L174" s="2"/>
    </row>
    <row r="175" spans="1:12" x14ac:dyDescent="0.2">
      <c r="A175" s="3"/>
      <c r="F175" s="2" t="e" cm="1">
        <f t="array" ref="F175">_xlfn.IFS(B175="Owner Surrender",E175,B175="Stray",E175+6,B175="Stray w/identification",E175+11,B175="Bite",E175+10,B175="Other",E175+30,B175="BAS",E175+56,B175="Seized",E175)</f>
        <v>#N/A</v>
      </c>
      <c r="H175" s="5">
        <f>+G175-E175</f>
        <v>0</v>
      </c>
      <c r="I175" s="5" t="e">
        <f t="shared" si="5"/>
        <v>#N/A</v>
      </c>
      <c r="J175" s="2"/>
      <c r="K175" s="2"/>
    </row>
    <row r="176" spans="1:12" x14ac:dyDescent="0.2">
      <c r="A176" s="3"/>
      <c r="F176" s="2" t="e" cm="1">
        <f t="array" ref="F176">_xlfn.IFS(B176="Owner Surrender",E176,B176="Stray",E176+6,B176="Stray w/identification",E176+11,B176="Bite",E176+10,B176="Other",E176+30,B176="BAS",E176+56,B176="Seized",E176)</f>
        <v>#N/A</v>
      </c>
      <c r="H176" s="5">
        <f>+G176-E176</f>
        <v>0</v>
      </c>
      <c r="I176" s="5" t="e">
        <f t="shared" si="5"/>
        <v>#N/A</v>
      </c>
      <c r="J176" s="2"/>
      <c r="L176" s="2"/>
    </row>
    <row r="177" spans="1:12" x14ac:dyDescent="0.2">
      <c r="A177" s="3"/>
      <c r="F177" s="2" t="e" cm="1">
        <f t="array" ref="F177">_xlfn.IFS(B177="Owner Surrender",E177,B177="Stray",E177+6,B177="Stray w/identification",E177+11,B177="Bite",E177+10,B177="Other",E177+30,B177="BAS",E177+56,B177="Seized",E177)</f>
        <v>#N/A</v>
      </c>
      <c r="I177" s="5" t="e">
        <f t="shared" si="5"/>
        <v>#N/A</v>
      </c>
      <c r="J177" s="2"/>
      <c r="L177" s="2"/>
    </row>
    <row r="178" spans="1:12" x14ac:dyDescent="0.2">
      <c r="A178" s="3"/>
      <c r="F178" s="2" t="e" cm="1">
        <f t="array" ref="F178">_xlfn.IFS(B178="Owner Surrender",E178,B178="Stray",E178+6,B178="Stray w/identification",E178+11,B178="Bite",E178+10,B178="Other",E178+30,B178="BAS",E178+56,B178="Seized",E178)</f>
        <v>#N/A</v>
      </c>
      <c r="H178" s="5">
        <f t="shared" ref="H178:H195" si="9">+G178-E178</f>
        <v>0</v>
      </c>
      <c r="I178" s="5" t="e">
        <f t="shared" si="5"/>
        <v>#N/A</v>
      </c>
      <c r="J178" s="2"/>
      <c r="L178" s="2"/>
    </row>
    <row r="179" spans="1:12" x14ac:dyDescent="0.2">
      <c r="A179" s="3"/>
      <c r="F179" s="2" t="e" cm="1">
        <f t="array" ref="F179">_xlfn.IFS(B179="Owner Surrender",E179,B179="Stray",E179+6,B179="Stray w/identification",E179+11,B179="Bite",E179+10,B179="Other",E179+30,B179="BAS",E179+56,B179="Seized",E179)</f>
        <v>#N/A</v>
      </c>
      <c r="H179" s="5">
        <f t="shared" si="9"/>
        <v>0</v>
      </c>
      <c r="I179" s="5" t="e">
        <f t="shared" si="5"/>
        <v>#N/A</v>
      </c>
      <c r="J179" s="2"/>
    </row>
    <row r="180" spans="1:12" x14ac:dyDescent="0.2">
      <c r="A180" s="3"/>
      <c r="F180" s="2" t="e" cm="1">
        <f t="array" ref="F180">_xlfn.IFS(B180="Owner Surrender",E180,B180="Stray",E180+6,B180="Stray w/identification",E180+11,B180="Bite",E180+10,B180="Other",E180+30,B180="BAS",E180+56,B180="Seized",E180)</f>
        <v>#N/A</v>
      </c>
      <c r="H180" s="5">
        <f t="shared" si="9"/>
        <v>0</v>
      </c>
      <c r="I180" s="5" t="e">
        <f t="shared" si="5"/>
        <v>#N/A</v>
      </c>
      <c r="J180" s="2"/>
    </row>
    <row r="181" spans="1:12" x14ac:dyDescent="0.2">
      <c r="A181" s="3"/>
      <c r="F181" s="2" t="e" cm="1">
        <f t="array" ref="F181">_xlfn.IFS(B181="Owner Surrender",E181,B181="Stray",E181+6,B181="Stray w/identification",E181+11,B181="Bite",E181+10,B181="Other",E181+30,B181="BAS",E181+56,B181="Seized",E181)</f>
        <v>#N/A</v>
      </c>
      <c r="H181" s="5">
        <f t="shared" si="9"/>
        <v>0</v>
      </c>
      <c r="I181" s="5" t="e">
        <f t="shared" si="5"/>
        <v>#N/A</v>
      </c>
      <c r="J181" s="2"/>
    </row>
    <row r="182" spans="1:12" x14ac:dyDescent="0.2">
      <c r="A182" s="3"/>
      <c r="F182" s="2" t="e" cm="1">
        <f t="array" ref="F182">_xlfn.IFS(B182="Owner Surrender",E182,B182="Stray",E182+6,B182="Stray w/identification",E182+11,B182="Bite",E182+10,B182="Other",E182+30,B182="BAS",E182+56,B182="Seized",E182)</f>
        <v>#N/A</v>
      </c>
      <c r="H182" s="5">
        <f t="shared" si="9"/>
        <v>0</v>
      </c>
      <c r="I182" s="5" t="e">
        <f t="shared" si="5"/>
        <v>#N/A</v>
      </c>
      <c r="J182" s="2"/>
    </row>
    <row r="183" spans="1:12" x14ac:dyDescent="0.2">
      <c r="A183" s="3"/>
      <c r="F183" s="2" t="e" cm="1">
        <f t="array" ref="F183">_xlfn.IFS(B183="Owner Surrender",E183,B183="Stray",E183+6,B183="Stray w/identification",E183+11,B183="Bite",E183+10,B183="Other",E183+30,B183="BAS",E183+56,B183="Seized",E183)</f>
        <v>#N/A</v>
      </c>
      <c r="H183" s="5">
        <f t="shared" si="9"/>
        <v>0</v>
      </c>
      <c r="I183" s="5" t="e">
        <f t="shared" si="5"/>
        <v>#N/A</v>
      </c>
      <c r="J183" s="2"/>
    </row>
    <row r="184" spans="1:12" x14ac:dyDescent="0.2">
      <c r="A184" s="3"/>
      <c r="F184" s="2" t="e" cm="1">
        <f t="array" ref="F184">_xlfn.IFS(B184="Owner Surrender",E184,B184="Stray",E184+6,B184="Stray w/identification",E184+11,B184="Bite",E184+10,B184="Other",E184+30,B184="BAS",E184+56,B184="Seized",E184)</f>
        <v>#N/A</v>
      </c>
      <c r="H184" s="5">
        <f t="shared" si="9"/>
        <v>0</v>
      </c>
      <c r="I184" s="5" t="e">
        <f t="shared" si="5"/>
        <v>#N/A</v>
      </c>
      <c r="J184" s="2"/>
      <c r="K184" s="2"/>
    </row>
    <row r="185" spans="1:12" x14ac:dyDescent="0.2">
      <c r="A185" s="3"/>
      <c r="F185" s="2" t="e" cm="1">
        <f t="array" ref="F185">_xlfn.IFS(B185="Owner Surrender",E185,B185="Stray",E185+6,B185="Stray w/identification",E185+11,B185="Bite",E185+10,B185="Other",E185+30,B185="BAS",E185+56,B185="Seized",E185)</f>
        <v>#N/A</v>
      </c>
      <c r="H185" s="5">
        <f t="shared" si="9"/>
        <v>0</v>
      </c>
      <c r="I185" s="5" t="e">
        <f t="shared" si="5"/>
        <v>#N/A</v>
      </c>
      <c r="J185" s="2"/>
      <c r="K185" s="2"/>
    </row>
    <row r="186" spans="1:12" x14ac:dyDescent="0.2">
      <c r="A186" s="3"/>
      <c r="F186" s="2" t="e" cm="1">
        <f t="array" ref="F186">_xlfn.IFS(B186="Owner Surrender",E186,B186="Stray",E186+6,B186="Stray w/identification",E186+11,B186="Bite",E186+10,B186="Other",E186+30,B186="BAS",E186+56,B186="Seized",E186)</f>
        <v>#N/A</v>
      </c>
      <c r="H186" s="5">
        <f t="shared" si="9"/>
        <v>0</v>
      </c>
      <c r="I186" s="5" t="e">
        <f t="shared" si="5"/>
        <v>#N/A</v>
      </c>
      <c r="J186" s="2"/>
    </row>
    <row r="187" spans="1:12" x14ac:dyDescent="0.2">
      <c r="A187" s="3"/>
      <c r="F187" s="2" t="e" cm="1">
        <f t="array" ref="F187">_xlfn.IFS(B187="Owner Surrender",E187,B187="Stray",E187+6,B187="Stray w/identification",E187+11,B187="Bite",E187+10,B187="Other",E187+30,B187="BAS",E187+56,B187="Seized",E187)</f>
        <v>#N/A</v>
      </c>
      <c r="H187" s="5">
        <f t="shared" si="9"/>
        <v>0</v>
      </c>
      <c r="I187" s="5" t="e">
        <f t="shared" si="5"/>
        <v>#N/A</v>
      </c>
      <c r="J187" s="2"/>
    </row>
    <row r="188" spans="1:12" x14ac:dyDescent="0.2">
      <c r="A188" s="3"/>
      <c r="F188" s="2" t="e" cm="1">
        <f t="array" ref="F188">_xlfn.IFS(B188="Owner Surrender",E188,B188="Stray",E188+6,B188="Stray w/identification",E188+11,B188="Bite",E188+10,B188="Other",E188+30,B188="BAS",E188+56,B188="Seized",E188)</f>
        <v>#N/A</v>
      </c>
      <c r="H188" s="5">
        <f t="shared" si="9"/>
        <v>0</v>
      </c>
      <c r="I188" s="5" t="e">
        <f t="shared" si="5"/>
        <v>#N/A</v>
      </c>
      <c r="J188" s="2"/>
    </row>
    <row r="189" spans="1:12" x14ac:dyDescent="0.2">
      <c r="A189" s="3"/>
      <c r="F189" s="2" t="e" cm="1">
        <f t="array" ref="F189">_xlfn.IFS(B189="Owner Surrender",E189,B189="Stray",E189+6,B189="Stray w/identification",E189+11,B189="Bite",E189+10,B189="Other",E189+30,B189="BAS",E189+56,B189="Seized",E189)</f>
        <v>#N/A</v>
      </c>
      <c r="H189" s="5">
        <f t="shared" si="9"/>
        <v>0</v>
      </c>
      <c r="I189" s="5" t="e">
        <f t="shared" si="5"/>
        <v>#N/A</v>
      </c>
      <c r="J189" s="2"/>
    </row>
    <row r="190" spans="1:12" x14ac:dyDescent="0.2">
      <c r="A190" s="3"/>
      <c r="F190" s="2" t="e" cm="1">
        <f t="array" ref="F190">_xlfn.IFS(B190="Owner Surrender",E190,B190="Stray",E190+6,B190="Stray w/identification",E190+11,B190="Bite",E190+10,B190="Other",E190+30,B190="BAS",E190+56,B190="Seized",E190)</f>
        <v>#N/A</v>
      </c>
      <c r="H190" s="5">
        <f t="shared" si="9"/>
        <v>0</v>
      </c>
      <c r="I190" s="5" t="e">
        <f t="shared" si="5"/>
        <v>#N/A</v>
      </c>
      <c r="J190" s="2"/>
    </row>
    <row r="191" spans="1:12" x14ac:dyDescent="0.2">
      <c r="A191" s="3"/>
      <c r="F191" s="2" t="e" cm="1">
        <f t="array" ref="F191">_xlfn.IFS(B191="Owner Surrender",E191,B191="Stray",E191+6,B191="Stray w/identification",E191+11,B191="Bite",E191+10,B191="Other",E191+30,B191="BAS",E191+56,B191="Seized",E191)</f>
        <v>#N/A</v>
      </c>
      <c r="H191" s="5">
        <f t="shared" si="9"/>
        <v>0</v>
      </c>
      <c r="I191" s="5" t="e">
        <f t="shared" si="5"/>
        <v>#N/A</v>
      </c>
      <c r="J191" s="2"/>
    </row>
    <row r="192" spans="1:12" x14ac:dyDescent="0.2">
      <c r="A192" s="3"/>
      <c r="F192" s="2" t="e" cm="1">
        <f t="array" ref="F192">_xlfn.IFS(B192="Owner Surrender",E192,B192="Stray",E192+6,B192="Stray w/identification",E192+11,B192="Bite",E192+10,B192="Other",E192+30,B192="BAS",E192+56,B192="Seized",E192)</f>
        <v>#N/A</v>
      </c>
      <c r="H192" s="5">
        <f t="shared" si="9"/>
        <v>0</v>
      </c>
      <c r="I192" s="5" t="e">
        <f t="shared" si="5"/>
        <v>#N/A</v>
      </c>
      <c r="J192" s="2"/>
    </row>
    <row r="193" spans="1:12" x14ac:dyDescent="0.2">
      <c r="A193" s="3"/>
      <c r="F193" s="2" t="e" cm="1">
        <f t="array" ref="F193">_xlfn.IFS(B193="Owner Surrender",E193,B193="Stray",E193+6,B193="Stray w/identification",E193+11,B193="Bite",E193+10,B193="Other",E193+30,B193="BAS",E193+56,B193="Seized",E193)</f>
        <v>#N/A</v>
      </c>
      <c r="H193" s="5">
        <f t="shared" si="9"/>
        <v>0</v>
      </c>
      <c r="I193" s="5" t="e">
        <f t="shared" si="5"/>
        <v>#N/A</v>
      </c>
      <c r="J193" s="2"/>
      <c r="K193" s="2"/>
    </row>
    <row r="194" spans="1:12" x14ac:dyDescent="0.2">
      <c r="A194" s="3"/>
      <c r="F194" s="2" t="e" cm="1">
        <f t="array" ref="F194">_xlfn.IFS(B194="Owner Surrender",E194,B194="Stray",E194+6,B194="Stray w/identification",E194+11,B194="Bite",E194+10,B194="Other",E194+30,B194="BAS",E194+56,B194="Seized",E194)</f>
        <v>#N/A</v>
      </c>
      <c r="H194" s="5">
        <f t="shared" si="9"/>
        <v>0</v>
      </c>
      <c r="I194" s="5" t="e">
        <f t="shared" si="5"/>
        <v>#N/A</v>
      </c>
      <c r="J194" s="2"/>
      <c r="K194" s="2"/>
    </row>
    <row r="195" spans="1:12" x14ac:dyDescent="0.2">
      <c r="A195" s="3"/>
      <c r="F195" s="2" t="e" cm="1">
        <f t="array" ref="F195">_xlfn.IFS(B195="Owner Surrender",E195,B195="Stray",E195+6,B195="Stray w/identification",E195+11,B195="Bite",E195+10,B195="Other",E195+30,B195="BAS",E195+56,B195="Seized",E195)</f>
        <v>#N/A</v>
      </c>
      <c r="H195" s="5">
        <f t="shared" si="9"/>
        <v>0</v>
      </c>
      <c r="I195" s="5" t="e">
        <f t="shared" si="5"/>
        <v>#N/A</v>
      </c>
      <c r="J195" s="2"/>
    </row>
    <row r="196" spans="1:12" x14ac:dyDescent="0.2">
      <c r="A196" s="3"/>
      <c r="F196" s="2" t="e" cm="1">
        <f t="array" ref="F196">_xlfn.IFS(B196="Owner Surrender",E196,B196="Stray",E196+6,B196="Stray w/identification",E196+11,B196="Bite",E196+10,B196="Other",E196+30,B196="BAS",E196+56,B196="Seized",E196)</f>
        <v>#N/A</v>
      </c>
      <c r="J196" s="2"/>
      <c r="L196" s="2"/>
    </row>
  </sheetData>
  <mergeCells count="10">
    <mergeCell ref="H1:I1"/>
    <mergeCell ref="J1:J2"/>
    <mergeCell ref="K1:K2"/>
    <mergeCell ref="L1:L2"/>
    <mergeCell ref="A1:A2"/>
    <mergeCell ref="B1:B2"/>
    <mergeCell ref="C1:C2"/>
    <mergeCell ref="E1:E2"/>
    <mergeCell ref="F1:F2"/>
    <mergeCell ref="G1:G2"/>
  </mergeCells>
  <dataValidations count="3">
    <dataValidation type="list" allowBlank="1" showInputMessage="1" showErrorMessage="1" sqref="D1:D1048576" xr:uid="{EEF9A13F-BF7B-C54B-9B20-B827DAEE69F4}">
      <formula1>"0-6 months, 6-12 months, Adult, Senior"</formula1>
    </dataValidation>
    <dataValidation type="list" allowBlank="1" showInputMessage="1" showErrorMessage="1" sqref="J3:J202" xr:uid="{59572F2C-D2D9-2C42-BBB7-284CA38A2E2B}">
      <formula1>"Adopted, DOA, Euthanized, RTO, Shelter, Transferred, "</formula1>
    </dataValidation>
    <dataValidation type="list" allowBlank="1" showInputMessage="1" showErrorMessage="1" sqref="B3:B200" xr:uid="{498D21C9-70F2-B941-9A17-8F7DE69FE695}">
      <formula1>"BAS, Bite, Other, Owner Surrender, Seized, Stray, Stray w/identification"</formula1>
    </dataValidation>
  </dataValidations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688A0-E2A5-B84E-869D-CB86E3FAFA9B}">
  <sheetPr>
    <tabColor theme="8" tint="0.59999389629810485"/>
  </sheetPr>
  <dimension ref="A1:AD1452"/>
  <sheetViews>
    <sheetView zoomScale="130" zoomScaleNormal="130" workbookViewId="0">
      <pane xSplit="1" ySplit="2" topLeftCell="B98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RowHeight="16" x14ac:dyDescent="0.2"/>
  <cols>
    <col min="1" max="1" width="9.1640625" style="26" customWidth="1"/>
    <col min="2" max="2" width="21" style="2" customWidth="1"/>
    <col min="3" max="3" width="19.6640625" customWidth="1"/>
    <col min="4" max="4" width="19.83203125" customWidth="1"/>
    <col min="5" max="5" width="13.5" style="2" customWidth="1"/>
    <col min="6" max="6" width="12.5" style="2" customWidth="1"/>
    <col min="7" max="7" width="14.1640625" style="2" customWidth="1"/>
    <col min="8" max="8" width="13.5" style="5" customWidth="1"/>
    <col min="9" max="9" width="16.83203125" style="5" customWidth="1"/>
    <col min="10" max="10" width="19.1640625" customWidth="1"/>
    <col min="11" max="11" width="16.33203125" customWidth="1"/>
    <col min="12" max="12" width="15.5" customWidth="1"/>
    <col min="13" max="13" width="35.1640625" bestFit="1" customWidth="1"/>
    <col min="15" max="15" width="3.6640625" customWidth="1"/>
    <col min="16" max="16" width="19.1640625" customWidth="1"/>
    <col min="19" max="19" width="3.83203125" customWidth="1"/>
    <col min="30" max="30" width="17.1640625" style="33" customWidth="1"/>
  </cols>
  <sheetData>
    <row r="1" spans="1:30" x14ac:dyDescent="0.2">
      <c r="A1" s="39" t="s">
        <v>6</v>
      </c>
      <c r="B1" s="38" t="s">
        <v>42</v>
      </c>
      <c r="C1" s="36" t="s">
        <v>1</v>
      </c>
      <c r="D1" s="7"/>
      <c r="E1" s="38" t="s">
        <v>2</v>
      </c>
      <c r="F1" s="38" t="s">
        <v>176</v>
      </c>
      <c r="G1" s="38" t="s">
        <v>3</v>
      </c>
      <c r="H1" s="35" t="s">
        <v>178</v>
      </c>
      <c r="I1" s="35"/>
      <c r="J1" s="36" t="s">
        <v>4</v>
      </c>
      <c r="K1" s="7"/>
      <c r="L1" s="36" t="s">
        <v>12</v>
      </c>
      <c r="M1" s="37" t="s">
        <v>5</v>
      </c>
    </row>
    <row r="2" spans="1:30" x14ac:dyDescent="0.2">
      <c r="A2" s="39"/>
      <c r="B2" s="38"/>
      <c r="C2" s="36"/>
      <c r="D2" s="7" t="s">
        <v>0</v>
      </c>
      <c r="E2" s="38"/>
      <c r="F2" s="38"/>
      <c r="G2" s="38"/>
      <c r="H2" s="6" t="s">
        <v>201</v>
      </c>
      <c r="I2" s="6" t="s">
        <v>202</v>
      </c>
      <c r="J2" s="36"/>
      <c r="K2" s="7" t="s">
        <v>585</v>
      </c>
      <c r="L2" s="36"/>
      <c r="M2" s="37"/>
      <c r="AD2" s="34" t="s">
        <v>656</v>
      </c>
    </row>
    <row r="3" spans="1:30" ht="19" x14ac:dyDescent="0.25">
      <c r="A3" s="3">
        <v>39012</v>
      </c>
      <c r="B3" s="2" t="s">
        <v>36</v>
      </c>
      <c r="C3" t="s">
        <v>7</v>
      </c>
      <c r="D3" t="s">
        <v>207</v>
      </c>
      <c r="E3" s="2">
        <v>45605</v>
      </c>
      <c r="F3" s="2" cm="1">
        <f t="array" ref="F3">_xlfn.IFS(B3="Owner Surrender",E3,B3="Stray",E3+6,B3="Stray w/identification",E3+11,B3="Bite",E3+10,B3="Other",E3+30,B3="BAS",E3+56,B3="Seized",E3)</f>
        <v>45605</v>
      </c>
      <c r="G3" s="2">
        <v>45679</v>
      </c>
      <c r="H3" s="5">
        <f t="shared" ref="H3:H24" si="0">+G3-E3</f>
        <v>74</v>
      </c>
      <c r="I3" s="5">
        <f t="shared" ref="I3:I24" si="1">G3-F3</f>
        <v>74</v>
      </c>
      <c r="J3" s="2" t="s">
        <v>18</v>
      </c>
      <c r="K3" s="2" t="s">
        <v>586</v>
      </c>
      <c r="L3" t="s">
        <v>232</v>
      </c>
      <c r="O3" s="10" t="s">
        <v>11</v>
      </c>
      <c r="P3" s="10"/>
      <c r="Q3" s="10">
        <f>SUM(Q4:Q10)</f>
        <v>47</v>
      </c>
      <c r="R3" s="11"/>
      <c r="S3" s="10" t="s">
        <v>11</v>
      </c>
      <c r="T3" s="10"/>
      <c r="U3" s="10"/>
      <c r="AD3" s="33" t="str">
        <f>TEXT(G3,"DDDD")</f>
        <v>Wednesday</v>
      </c>
    </row>
    <row r="4" spans="1:30" x14ac:dyDescent="0.2">
      <c r="A4" s="3">
        <v>39368</v>
      </c>
      <c r="B4" s="2" t="s">
        <v>36</v>
      </c>
      <c r="C4" t="s">
        <v>7</v>
      </c>
      <c r="D4" t="s">
        <v>208</v>
      </c>
      <c r="E4" s="2">
        <v>45653</v>
      </c>
      <c r="F4" s="2" cm="1">
        <f t="array" ref="F4">_xlfn.IFS(B4="Owner Surrender",E4,B4="Stray",E4+6,B4="Stray w/identification",E4+11,B4="Bite",E4+10,B4="Other",E4+30,B4="BAS",E4+56,B4="Seized",E4)</f>
        <v>45653</v>
      </c>
      <c r="G4" s="2">
        <v>45699</v>
      </c>
      <c r="H4" s="5">
        <f t="shared" si="0"/>
        <v>46</v>
      </c>
      <c r="I4" s="5">
        <f t="shared" si="1"/>
        <v>46</v>
      </c>
      <c r="J4" s="2" t="s">
        <v>11</v>
      </c>
      <c r="K4" s="2" t="s">
        <v>586</v>
      </c>
      <c r="L4" s="2"/>
      <c r="M4" s="2"/>
      <c r="P4" s="9" t="s">
        <v>36</v>
      </c>
      <c r="Q4" s="9">
        <f>COUNTIFS($J:$J,"Adopted",$B:$B,"Owner Surrender")</f>
        <v>20</v>
      </c>
      <c r="T4" s="9" t="s">
        <v>208</v>
      </c>
      <c r="U4" s="9">
        <f>COUNTIFS(J:J,"Adopted",D:D,"0-6 months")</f>
        <v>29</v>
      </c>
      <c r="AD4" s="33" t="str">
        <f t="shared" ref="AD4:AD67" si="2">TEXT(G4,"DDDD")</f>
        <v>Tuesday</v>
      </c>
    </row>
    <row r="5" spans="1:30" x14ac:dyDescent="0.2">
      <c r="A5" s="3">
        <v>39417</v>
      </c>
      <c r="B5" s="2" t="s">
        <v>38</v>
      </c>
      <c r="C5" t="s">
        <v>7</v>
      </c>
      <c r="D5" t="s">
        <v>207</v>
      </c>
      <c r="E5" s="2">
        <v>45658</v>
      </c>
      <c r="F5" s="2" cm="1">
        <f t="array" ref="F5">_xlfn.IFS(B5="Owner Surrender",E5,B5="Stray",E5+6,B5="Stray w/identification",E5+11,B5="Bite",E5+10,B5="Other",E5+30,B5="BAS",E5+56,B5="Seized",E5)</f>
        <v>45664</v>
      </c>
      <c r="G5" s="2">
        <v>45665</v>
      </c>
      <c r="H5" s="5">
        <f t="shared" si="0"/>
        <v>7</v>
      </c>
      <c r="I5" s="5">
        <f t="shared" si="1"/>
        <v>1</v>
      </c>
      <c r="J5" s="2" t="s">
        <v>31</v>
      </c>
      <c r="K5" s="2" t="s">
        <v>587</v>
      </c>
      <c r="P5" s="9" t="s">
        <v>38</v>
      </c>
      <c r="Q5" s="9">
        <f>COUNTIFS($J:$J,"Adopted",$B:$B,"Stray")</f>
        <v>27</v>
      </c>
      <c r="T5" s="9" t="s">
        <v>209</v>
      </c>
      <c r="U5" s="9">
        <f>COUNTIFS(J:J,"Adopted",D:D,"6-12 months")</f>
        <v>3</v>
      </c>
      <c r="AD5" s="33" t="str">
        <f t="shared" si="2"/>
        <v>Wednesday</v>
      </c>
    </row>
    <row r="6" spans="1:30" x14ac:dyDescent="0.2">
      <c r="A6" s="3">
        <v>39418</v>
      </c>
      <c r="B6" s="2" t="s">
        <v>36</v>
      </c>
      <c r="C6" t="s">
        <v>7</v>
      </c>
      <c r="D6" t="s">
        <v>207</v>
      </c>
      <c r="E6" s="2">
        <v>45659</v>
      </c>
      <c r="F6" s="2" cm="1">
        <f t="array" ref="F6">_xlfn.IFS(B6="Owner Surrender",E6,B6="Stray",E6+6,B6="Stray w/identification",E6+11,B6="Bite",E6+10,B6="Other",E6+30,B6="BAS",E6+56,B6="Seized",E6)</f>
        <v>45659</v>
      </c>
      <c r="G6" s="2">
        <v>45673</v>
      </c>
      <c r="H6" s="5">
        <f t="shared" si="0"/>
        <v>14</v>
      </c>
      <c r="I6" s="5">
        <f t="shared" si="1"/>
        <v>14</v>
      </c>
      <c r="J6" s="2" t="s">
        <v>31</v>
      </c>
      <c r="K6" s="2" t="s">
        <v>588</v>
      </c>
      <c r="L6" t="s">
        <v>212</v>
      </c>
      <c r="P6" s="9" t="s">
        <v>203</v>
      </c>
      <c r="Q6" s="9">
        <f>COUNTIFS($J:$J,"Adopted",$B:$B,"Stray w/identification")</f>
        <v>0</v>
      </c>
      <c r="T6" s="9" t="s">
        <v>207</v>
      </c>
      <c r="U6" s="9">
        <f>COUNTIFS(J:J,"Adopted",D:D,"Adult")</f>
        <v>15</v>
      </c>
      <c r="AD6" s="33" t="str">
        <f t="shared" si="2"/>
        <v>Thursday</v>
      </c>
    </row>
    <row r="7" spans="1:30" x14ac:dyDescent="0.2">
      <c r="A7" s="3">
        <v>39419</v>
      </c>
      <c r="B7" s="2" t="s">
        <v>36</v>
      </c>
      <c r="C7" t="s">
        <v>7</v>
      </c>
      <c r="D7" t="s">
        <v>208</v>
      </c>
      <c r="E7" s="2">
        <v>45659</v>
      </c>
      <c r="F7" s="2" cm="1">
        <f t="array" ref="F7">_xlfn.IFS(B7="Owner Surrender",E7,B7="Stray",E7+6,B7="Stray w/identification",E7+11,B7="Bite",E7+10,B7="Other",E7+30,B7="BAS",E7+56,B7="Seized",E7)</f>
        <v>45659</v>
      </c>
      <c r="G7" s="2">
        <v>45673</v>
      </c>
      <c r="H7" s="5">
        <f t="shared" si="0"/>
        <v>14</v>
      </c>
      <c r="I7" s="5">
        <f t="shared" si="1"/>
        <v>14</v>
      </c>
      <c r="J7" s="2" t="s">
        <v>31</v>
      </c>
      <c r="K7" s="2" t="s">
        <v>587</v>
      </c>
      <c r="L7" s="2"/>
      <c r="P7" s="9" t="s">
        <v>52</v>
      </c>
      <c r="Q7" s="9">
        <f>COUNTIFS($J:$J,"Adopted",$B:$B,"Seized")</f>
        <v>0</v>
      </c>
      <c r="T7" s="9" t="s">
        <v>210</v>
      </c>
      <c r="U7" s="9">
        <f>COUNTIFS(J:J,"Adopted",D:D,"Senior")</f>
        <v>0</v>
      </c>
      <c r="AD7" s="33" t="str">
        <f t="shared" si="2"/>
        <v>Thursday</v>
      </c>
    </row>
    <row r="8" spans="1:30" ht="19" x14ac:dyDescent="0.25">
      <c r="A8" s="3">
        <v>39420</v>
      </c>
      <c r="B8" s="2" t="s">
        <v>38</v>
      </c>
      <c r="C8" t="s">
        <v>10</v>
      </c>
      <c r="D8" t="s">
        <v>207</v>
      </c>
      <c r="E8" s="2">
        <v>45659</v>
      </c>
      <c r="F8" s="2" cm="1">
        <f t="array" ref="F8">_xlfn.IFS(B8="Owner Surrender",E8,B8="Stray",E8+6,B8="Stray w/identification",E8+11,B8="Bite",E8+10,B8="Other",E8+30,B8="BAS",E8+56,B8="Seized",E8)</f>
        <v>45665</v>
      </c>
      <c r="G8" s="2">
        <v>45667</v>
      </c>
      <c r="H8" s="5">
        <f t="shared" si="0"/>
        <v>8</v>
      </c>
      <c r="I8" s="5">
        <f t="shared" si="1"/>
        <v>2</v>
      </c>
      <c r="J8" s="2" t="s">
        <v>31</v>
      </c>
      <c r="K8" s="2" t="s">
        <v>587</v>
      </c>
      <c r="P8" s="9" t="s">
        <v>60</v>
      </c>
      <c r="Q8" s="9">
        <f>COUNTIFS($J:$J,"Adopted",$B:$B,"Other")</f>
        <v>0</v>
      </c>
      <c r="S8" s="10" t="s">
        <v>18</v>
      </c>
      <c r="T8" s="10"/>
      <c r="U8" s="10"/>
      <c r="AD8" s="33" t="str">
        <f t="shared" si="2"/>
        <v>Friday</v>
      </c>
    </row>
    <row r="9" spans="1:30" x14ac:dyDescent="0.2">
      <c r="A9" s="3">
        <v>39423</v>
      </c>
      <c r="B9" s="2" t="s">
        <v>38</v>
      </c>
      <c r="C9" t="s">
        <v>7</v>
      </c>
      <c r="D9" t="s">
        <v>207</v>
      </c>
      <c r="E9" s="2">
        <v>45660</v>
      </c>
      <c r="F9" s="2" cm="1">
        <f t="array" ref="F9">_xlfn.IFS(B9="Owner Surrender",E9,B9="Stray",E9+6,B9="Stray w/identification",E9+11,B9="Bite",E9+10,B9="Other",E9+30,B9="BAS",E9+56,B9="Seized",E9)</f>
        <v>45666</v>
      </c>
      <c r="G9" s="2">
        <v>45680</v>
      </c>
      <c r="H9" s="5">
        <f t="shared" si="0"/>
        <v>20</v>
      </c>
      <c r="I9" s="5">
        <f t="shared" si="1"/>
        <v>14</v>
      </c>
      <c r="J9" s="2" t="s">
        <v>18</v>
      </c>
      <c r="K9" s="2" t="s">
        <v>586</v>
      </c>
      <c r="L9" t="s">
        <v>224</v>
      </c>
      <c r="P9" s="9" t="s">
        <v>204</v>
      </c>
      <c r="Q9" s="9">
        <f>COUNTIFS($J:$J,"Adopted",$B:$B,"BAS")</f>
        <v>0</v>
      </c>
      <c r="T9" s="9" t="s">
        <v>208</v>
      </c>
      <c r="U9" s="9">
        <f>COUNTIFS(J:J,"Transferred",D:D,"0-6 months")</f>
        <v>115</v>
      </c>
      <c r="AD9" s="33" t="str">
        <f t="shared" si="2"/>
        <v>Thursday</v>
      </c>
    </row>
    <row r="10" spans="1:30" x14ac:dyDescent="0.2">
      <c r="A10" s="3">
        <v>39429</v>
      </c>
      <c r="B10" s="2" t="s">
        <v>36</v>
      </c>
      <c r="C10" t="s">
        <v>7</v>
      </c>
      <c r="D10" t="s">
        <v>207</v>
      </c>
      <c r="E10" s="2">
        <v>45660</v>
      </c>
      <c r="F10" s="2" cm="1">
        <f t="array" ref="F10">_xlfn.IFS(B10="Owner Surrender",E10,B10="Stray",E10+6,B10="Stray w/identification",E10+11,B10="Bite",E10+10,B10="Other",E10+30,B10="BAS",E10+56,B10="Seized",E10)</f>
        <v>45660</v>
      </c>
      <c r="G10" s="2">
        <v>45664</v>
      </c>
      <c r="H10" s="5">
        <f t="shared" si="0"/>
        <v>4</v>
      </c>
      <c r="I10" s="5">
        <f t="shared" si="1"/>
        <v>4</v>
      </c>
      <c r="J10" s="2" t="s">
        <v>18</v>
      </c>
      <c r="K10" s="2" t="s">
        <v>586</v>
      </c>
      <c r="P10" s="9" t="s">
        <v>41</v>
      </c>
      <c r="Q10" s="9">
        <f>COUNTIFS($J:$J,"Adopted",$B:$B,"Bite")</f>
        <v>0</v>
      </c>
      <c r="T10" s="9" t="s">
        <v>209</v>
      </c>
      <c r="U10" s="9">
        <f>COUNTIFS(J:J,"Transferred",D:D,"6-12 months")</f>
        <v>18</v>
      </c>
      <c r="AD10" s="33" t="str">
        <f t="shared" si="2"/>
        <v>Tuesday</v>
      </c>
    </row>
    <row r="11" spans="1:30" ht="19" x14ac:dyDescent="0.25">
      <c r="A11" s="3">
        <v>39433</v>
      </c>
      <c r="B11" s="2" t="s">
        <v>38</v>
      </c>
      <c r="C11" t="s">
        <v>7</v>
      </c>
      <c r="D11" t="s">
        <v>207</v>
      </c>
      <c r="E11" s="2">
        <v>45661</v>
      </c>
      <c r="F11" s="2" cm="1">
        <f t="array" ref="F11">_xlfn.IFS(B11="Owner Surrender",E11,B11="Stray",E11+6,B11="Stray w/identification",E11+11,B11="Bite",E11+10,B11="Other",E11+30,B11="BAS",E11+56,B11="Seized",E11)</f>
        <v>45667</v>
      </c>
      <c r="G11" s="2">
        <v>45667</v>
      </c>
      <c r="H11" s="5">
        <f t="shared" si="0"/>
        <v>6</v>
      </c>
      <c r="I11" s="5">
        <f t="shared" si="1"/>
        <v>0</v>
      </c>
      <c r="J11" s="2" t="s">
        <v>31</v>
      </c>
      <c r="K11" s="2" t="s">
        <v>24</v>
      </c>
      <c r="M11" t="s">
        <v>213</v>
      </c>
      <c r="O11" s="10" t="s">
        <v>18</v>
      </c>
      <c r="P11" s="10"/>
      <c r="Q11" s="10">
        <f>SUM(Q12:Q18)</f>
        <v>205</v>
      </c>
      <c r="T11" s="9" t="s">
        <v>207</v>
      </c>
      <c r="U11" s="9">
        <f>COUNTIFS(J:J,"Transferred",D:D,"Adult")</f>
        <v>72</v>
      </c>
      <c r="AD11" s="33" t="str">
        <f t="shared" si="2"/>
        <v>Friday</v>
      </c>
    </row>
    <row r="12" spans="1:30" x14ac:dyDescent="0.2">
      <c r="A12" s="3">
        <v>39436</v>
      </c>
      <c r="B12" s="2" t="s">
        <v>38</v>
      </c>
      <c r="C12" t="s">
        <v>7</v>
      </c>
      <c r="D12" t="s">
        <v>208</v>
      </c>
      <c r="E12" s="2">
        <v>45661</v>
      </c>
      <c r="F12" s="2" cm="1">
        <f t="array" ref="F12">_xlfn.IFS(B12="Owner Surrender",E12,B12="Stray",E12+6,B12="Stray w/identification",E12+11,B12="Bite",E12+10,B12="Other",E12+30,B12="BAS",E12+56,B12="Seized",E12)</f>
        <v>45667</v>
      </c>
      <c r="G12" s="2">
        <v>45679</v>
      </c>
      <c r="H12" s="5">
        <f t="shared" si="0"/>
        <v>18</v>
      </c>
      <c r="I12" s="5">
        <f t="shared" si="1"/>
        <v>12</v>
      </c>
      <c r="J12" s="2" t="s">
        <v>18</v>
      </c>
      <c r="K12" s="2" t="s">
        <v>586</v>
      </c>
      <c r="L12" t="s">
        <v>233</v>
      </c>
      <c r="P12" s="9" t="s">
        <v>36</v>
      </c>
      <c r="Q12" s="9">
        <f>COUNTIFS(J:J,"Transferred",B:B,"Owner Surrender")</f>
        <v>98</v>
      </c>
      <c r="T12" s="9" t="s">
        <v>210</v>
      </c>
      <c r="U12" s="9">
        <f>COUNTIFS(J:J,"Transferred",D:D,"Senior")</f>
        <v>0</v>
      </c>
      <c r="AD12" s="33" t="str">
        <f t="shared" si="2"/>
        <v>Wednesday</v>
      </c>
    </row>
    <row r="13" spans="1:30" ht="19" x14ac:dyDescent="0.25">
      <c r="A13" s="3">
        <v>39437</v>
      </c>
      <c r="B13" s="2" t="s">
        <v>36</v>
      </c>
      <c r="C13" t="s">
        <v>7</v>
      </c>
      <c r="D13" t="s">
        <v>207</v>
      </c>
      <c r="E13" s="2">
        <v>45662</v>
      </c>
      <c r="F13" s="2" cm="1">
        <f t="array" ref="F13">_xlfn.IFS(B13="Owner Surrender",E13,B13="Stray",E13+6,B13="Stray w/identification",E13+11,B13="Bite",E13+10,B13="Other",E13+30,B13="BAS",E13+56,B13="Seized",E13)</f>
        <v>45662</v>
      </c>
      <c r="G13" s="2">
        <v>45665</v>
      </c>
      <c r="H13" s="5">
        <f t="shared" si="0"/>
        <v>3</v>
      </c>
      <c r="I13" s="5">
        <f t="shared" si="1"/>
        <v>3</v>
      </c>
      <c r="J13" s="2" t="s">
        <v>31</v>
      </c>
      <c r="K13" s="2" t="s">
        <v>24</v>
      </c>
      <c r="L13" s="2"/>
      <c r="M13" s="2" t="s">
        <v>24</v>
      </c>
      <c r="P13" s="9" t="s">
        <v>38</v>
      </c>
      <c r="Q13" s="9">
        <f>COUNTIFS(J:J,"Transferred",B:B,"Stray")</f>
        <v>102</v>
      </c>
      <c r="S13" s="10" t="s">
        <v>31</v>
      </c>
      <c r="T13" s="10"/>
      <c r="U13" s="10"/>
      <c r="AD13" s="33" t="str">
        <f t="shared" si="2"/>
        <v>Wednesday</v>
      </c>
    </row>
    <row r="14" spans="1:30" x14ac:dyDescent="0.2">
      <c r="A14" s="3">
        <v>39439</v>
      </c>
      <c r="B14" s="2" t="s">
        <v>38</v>
      </c>
      <c r="C14" t="s">
        <v>7</v>
      </c>
      <c r="D14" t="s">
        <v>209</v>
      </c>
      <c r="E14" s="2">
        <v>45662</v>
      </c>
      <c r="F14" s="2" cm="1">
        <f t="array" ref="F14">_xlfn.IFS(B14="Owner Surrender",E14,B14="Stray",E14+6,B14="Stray w/identification",E14+11,B14="Bite",E14+10,B14="Other",E14+30,B14="BAS",E14+56,B14="Seized",E14)</f>
        <v>45668</v>
      </c>
      <c r="G14" s="2">
        <v>45669</v>
      </c>
      <c r="H14" s="5">
        <f t="shared" si="0"/>
        <v>7</v>
      </c>
      <c r="I14" s="5">
        <f t="shared" si="1"/>
        <v>1</v>
      </c>
      <c r="J14" s="2" t="s">
        <v>31</v>
      </c>
      <c r="K14" s="2" t="s">
        <v>587</v>
      </c>
      <c r="P14" s="9" t="s">
        <v>203</v>
      </c>
      <c r="Q14" s="9">
        <f>COUNTIFS(J:J,"Transferred",B:B,"Stray w/identification")</f>
        <v>1</v>
      </c>
      <c r="T14" s="9" t="s">
        <v>208</v>
      </c>
      <c r="U14" s="9">
        <f>COUNTIFS(J:J,"Euthanized",D:D,"0-6 months")</f>
        <v>408</v>
      </c>
      <c r="AD14" s="33" t="str">
        <f t="shared" si="2"/>
        <v>Sunday</v>
      </c>
    </row>
    <row r="15" spans="1:30" x14ac:dyDescent="0.2">
      <c r="A15" s="3">
        <v>39440</v>
      </c>
      <c r="B15" s="2" t="s">
        <v>38</v>
      </c>
      <c r="C15" t="s">
        <v>7</v>
      </c>
      <c r="D15" t="s">
        <v>208</v>
      </c>
      <c r="E15" s="2">
        <v>45662</v>
      </c>
      <c r="F15" s="2" cm="1">
        <f t="array" ref="F15">_xlfn.IFS(B15="Owner Surrender",E15,B15="Stray",E15+6,B15="Stray w/identification",E15+11,B15="Bite",E15+10,B15="Other",E15+30,B15="BAS",E15+56,B15="Seized",E15)</f>
        <v>45668</v>
      </c>
      <c r="G15" s="2">
        <v>45669</v>
      </c>
      <c r="H15" s="5">
        <f t="shared" si="0"/>
        <v>7</v>
      </c>
      <c r="I15" s="5">
        <f t="shared" si="1"/>
        <v>1</v>
      </c>
      <c r="J15" s="2" t="s">
        <v>31</v>
      </c>
      <c r="K15" s="2" t="s">
        <v>587</v>
      </c>
      <c r="P15" s="9" t="s">
        <v>52</v>
      </c>
      <c r="Q15" s="9">
        <f>COUNTIFS(J:J,"Transferred",B:B,"Seized")</f>
        <v>2</v>
      </c>
      <c r="T15" s="9" t="s">
        <v>209</v>
      </c>
      <c r="U15" s="9">
        <f>COUNTIFS(J:J,"Euthanized",D:D,"6-12 months")</f>
        <v>34</v>
      </c>
      <c r="AD15" s="33" t="str">
        <f t="shared" si="2"/>
        <v>Sunday</v>
      </c>
    </row>
    <row r="16" spans="1:30" x14ac:dyDescent="0.2">
      <c r="A16" s="3">
        <v>39441</v>
      </c>
      <c r="B16" s="2" t="s">
        <v>38</v>
      </c>
      <c r="C16" t="s">
        <v>7</v>
      </c>
      <c r="D16" t="s">
        <v>208</v>
      </c>
      <c r="E16" s="2">
        <v>45662</v>
      </c>
      <c r="F16" s="2" cm="1">
        <f t="array" ref="F16">_xlfn.IFS(B16="Owner Surrender",E16,B16="Stray",E16+6,B16="Stray w/identification",E16+11,B16="Bite",E16+10,B16="Other",E16+30,B16="BAS",E16+56,B16="Seized",E16)</f>
        <v>45668</v>
      </c>
      <c r="G16" s="2">
        <v>45669</v>
      </c>
      <c r="H16" s="5">
        <f t="shared" si="0"/>
        <v>7</v>
      </c>
      <c r="I16" s="5">
        <f t="shared" si="1"/>
        <v>1</v>
      </c>
      <c r="J16" s="2" t="s">
        <v>31</v>
      </c>
      <c r="K16" s="2" t="s">
        <v>587</v>
      </c>
      <c r="P16" s="9" t="s">
        <v>60</v>
      </c>
      <c r="Q16" s="9">
        <f>COUNTIFS(J:J,"Transferred",B:B,"Other")</f>
        <v>2</v>
      </c>
      <c r="T16" s="9" t="s">
        <v>207</v>
      </c>
      <c r="U16" s="9">
        <f>COUNTIFS(J:J,"Euthanized",D:D,"Adult")</f>
        <v>254</v>
      </c>
      <c r="AD16" s="33" t="str">
        <f t="shared" si="2"/>
        <v>Sunday</v>
      </c>
    </row>
    <row r="17" spans="1:30" x14ac:dyDescent="0.2">
      <c r="A17" s="3">
        <v>39442</v>
      </c>
      <c r="B17" s="2" t="s">
        <v>38</v>
      </c>
      <c r="C17" t="s">
        <v>7</v>
      </c>
      <c r="D17" t="s">
        <v>207</v>
      </c>
      <c r="E17" s="2">
        <v>45662</v>
      </c>
      <c r="F17" s="2" cm="1">
        <f t="array" ref="F17">_xlfn.IFS(B17="Owner Surrender",E17,B17="Stray",E17+6,B17="Stray w/identification",E17+11,B17="Bite",E17+10,B17="Other",E17+30,B17="BAS",E17+56,B17="Seized",E17)</f>
        <v>45668</v>
      </c>
      <c r="G17" s="2">
        <v>45679</v>
      </c>
      <c r="H17" s="5">
        <f t="shared" si="0"/>
        <v>17</v>
      </c>
      <c r="I17" s="5">
        <f t="shared" si="1"/>
        <v>11</v>
      </c>
      <c r="J17" s="2" t="s">
        <v>18</v>
      </c>
      <c r="K17" s="2" t="s">
        <v>586</v>
      </c>
      <c r="L17" t="s">
        <v>225</v>
      </c>
      <c r="P17" s="9" t="s">
        <v>204</v>
      </c>
      <c r="Q17" s="9">
        <f>COUNTIFS(J:J,"Transferred",B:B,"BAS")</f>
        <v>0</v>
      </c>
      <c r="T17" s="9" t="s">
        <v>210</v>
      </c>
      <c r="U17" s="9">
        <f>COUNTIFS(J:J,"Euthanized",D:D,"Senior")</f>
        <v>14</v>
      </c>
      <c r="AD17" s="33" t="str">
        <f t="shared" si="2"/>
        <v>Wednesday</v>
      </c>
    </row>
    <row r="18" spans="1:30" ht="19" x14ac:dyDescent="0.25">
      <c r="A18" s="3">
        <v>39445</v>
      </c>
      <c r="B18" s="2" t="s">
        <v>38</v>
      </c>
      <c r="C18" t="s">
        <v>10</v>
      </c>
      <c r="D18" t="s">
        <v>207</v>
      </c>
      <c r="E18" s="2">
        <v>45664</v>
      </c>
      <c r="F18" s="2" cm="1">
        <f t="array" ref="F18">_xlfn.IFS(B18="Owner Surrender",E18,B18="Stray",E18+6,B18="Stray w/identification",E18+11,B18="Bite",E18+10,B18="Other",E18+30,B18="BAS",E18+56,B18="Seized",E18)</f>
        <v>45670</v>
      </c>
      <c r="G18" s="2">
        <v>45665</v>
      </c>
      <c r="H18" s="5">
        <f t="shared" si="0"/>
        <v>1</v>
      </c>
      <c r="I18" s="5">
        <f t="shared" si="1"/>
        <v>-5</v>
      </c>
      <c r="J18" s="2" t="s">
        <v>28</v>
      </c>
      <c r="K18" s="2" t="s">
        <v>586</v>
      </c>
      <c r="L18" s="2"/>
      <c r="M18" t="s">
        <v>111</v>
      </c>
      <c r="P18" s="9" t="s">
        <v>41</v>
      </c>
      <c r="Q18" s="9">
        <f>COUNTIFS(J:J,"Transferred",B:B,"Bite")</f>
        <v>0</v>
      </c>
      <c r="S18" s="10" t="s">
        <v>28</v>
      </c>
      <c r="T18" s="10"/>
      <c r="U18" s="10"/>
      <c r="AD18" s="33" t="str">
        <f t="shared" si="2"/>
        <v>Wednesday</v>
      </c>
    </row>
    <row r="19" spans="1:30" ht="19" x14ac:dyDescent="0.25">
      <c r="A19" s="3">
        <v>39446</v>
      </c>
      <c r="B19" s="2" t="s">
        <v>36</v>
      </c>
      <c r="C19" t="s">
        <v>15</v>
      </c>
      <c r="D19" t="s">
        <v>207</v>
      </c>
      <c r="E19" s="2">
        <v>45664</v>
      </c>
      <c r="F19" s="2" cm="1">
        <f t="array" ref="F19">_xlfn.IFS(B19="Owner Surrender",E19,B19="Stray",E19+6,B19="Stray w/identification",E19+11,B19="Bite",E19+10,B19="Other",E19+30,B19="BAS",E19+56,B19="Seized",E19)</f>
        <v>45664</v>
      </c>
      <c r="G19" s="2">
        <v>45667</v>
      </c>
      <c r="H19" s="5">
        <f t="shared" si="0"/>
        <v>3</v>
      </c>
      <c r="I19" s="5">
        <f t="shared" si="1"/>
        <v>3</v>
      </c>
      <c r="J19" s="2" t="s">
        <v>31</v>
      </c>
      <c r="K19" s="2" t="s">
        <v>24</v>
      </c>
      <c r="M19" t="s">
        <v>214</v>
      </c>
      <c r="O19" s="10" t="s">
        <v>31</v>
      </c>
      <c r="P19" s="10"/>
      <c r="Q19" s="10">
        <f>SUM(Q20:Q26)</f>
        <v>710</v>
      </c>
      <c r="T19" s="9" t="s">
        <v>208</v>
      </c>
      <c r="U19" s="9">
        <f>COUNTIFS(J:J,"DOA",D:D,"0-6 months")</f>
        <v>14</v>
      </c>
      <c r="AD19" s="33" t="str">
        <f t="shared" si="2"/>
        <v>Friday</v>
      </c>
    </row>
    <row r="20" spans="1:30" x14ac:dyDescent="0.2">
      <c r="A20" s="3">
        <v>39451</v>
      </c>
      <c r="B20" s="2" t="s">
        <v>36</v>
      </c>
      <c r="C20" t="s">
        <v>7</v>
      </c>
      <c r="D20" t="s">
        <v>207</v>
      </c>
      <c r="E20" s="2">
        <v>45665</v>
      </c>
      <c r="F20" s="2" cm="1">
        <f t="array" ref="F20">_xlfn.IFS(B20="Owner Surrender",E20,B20="Stray",E20+6,B20="Stray w/identification",E20+11,B20="Bite",E20+10,B20="Other",E20+30,B20="BAS",E20+56,B20="Seized",E20)</f>
        <v>45665</v>
      </c>
      <c r="G20" s="2">
        <v>45673</v>
      </c>
      <c r="H20" s="5">
        <f t="shared" si="0"/>
        <v>8</v>
      </c>
      <c r="I20" s="5">
        <f t="shared" si="1"/>
        <v>8</v>
      </c>
      <c r="J20" s="2" t="s">
        <v>18</v>
      </c>
      <c r="K20" s="2" t="s">
        <v>586</v>
      </c>
      <c r="L20" s="2" t="s">
        <v>226</v>
      </c>
      <c r="M20" t="s">
        <v>227</v>
      </c>
      <c r="P20" s="9" t="s">
        <v>36</v>
      </c>
      <c r="Q20" s="9">
        <f>COUNTIFS(J:J,"Euthanized",B:B,"Owner Surrender")</f>
        <v>301</v>
      </c>
      <c r="T20" s="9" t="s">
        <v>209</v>
      </c>
      <c r="U20" s="9">
        <f>COUNTIFS(J:J,"DOA",D:D,"6-12 months")</f>
        <v>0</v>
      </c>
      <c r="AD20" s="33" t="str">
        <f t="shared" si="2"/>
        <v>Thursday</v>
      </c>
    </row>
    <row r="21" spans="1:30" x14ac:dyDescent="0.2">
      <c r="A21" s="3">
        <v>39452</v>
      </c>
      <c r="B21" s="2" t="s">
        <v>38</v>
      </c>
      <c r="C21" t="s">
        <v>7</v>
      </c>
      <c r="D21" t="s">
        <v>207</v>
      </c>
      <c r="E21" s="2">
        <v>45665</v>
      </c>
      <c r="F21" s="2" cm="1">
        <f t="array" ref="F21">_xlfn.IFS(B21="Owner Surrender",E21,B21="Stray",E21+6,B21="Stray w/identification",E21+11,B21="Bite",E21+10,B21="Other",E21+30,B21="BAS",E21+56,B21="Seized",E21)</f>
        <v>45671</v>
      </c>
      <c r="G21" s="2">
        <v>45679</v>
      </c>
      <c r="H21" s="5">
        <f t="shared" si="0"/>
        <v>14</v>
      </c>
      <c r="I21" s="5">
        <f t="shared" si="1"/>
        <v>8</v>
      </c>
      <c r="J21" s="2" t="s">
        <v>18</v>
      </c>
      <c r="K21" s="2" t="s">
        <v>586</v>
      </c>
      <c r="L21" s="2"/>
      <c r="P21" s="9" t="s">
        <v>38</v>
      </c>
      <c r="Q21" s="9">
        <f>COUNTIFS(J:J,"Euthanized",B:B,"Stray")</f>
        <v>379</v>
      </c>
      <c r="T21" s="9" t="s">
        <v>207</v>
      </c>
      <c r="U21" s="9">
        <f>COUNTIFS(J:J,"DOA",D:D,"Adult")</f>
        <v>2</v>
      </c>
      <c r="AD21" s="33" t="str">
        <f t="shared" si="2"/>
        <v>Wednesday</v>
      </c>
    </row>
    <row r="22" spans="1:30" x14ac:dyDescent="0.2">
      <c r="A22" s="3">
        <v>39465</v>
      </c>
      <c r="B22" s="2" t="s">
        <v>36</v>
      </c>
      <c r="C22" t="s">
        <v>7</v>
      </c>
      <c r="D22" t="s">
        <v>210</v>
      </c>
      <c r="E22" s="2">
        <v>45670</v>
      </c>
      <c r="F22" s="2" cm="1">
        <f t="array" ref="F22">_xlfn.IFS(B22="Owner Surrender",E22,B22="Stray",E22+6,B22="Stray w/identification",E22+11,B22="Bite",E22+10,B22="Other",E22+30,B22="BAS",E22+56,B22="Seized",E22)</f>
        <v>45670</v>
      </c>
      <c r="G22" s="2">
        <v>45670</v>
      </c>
      <c r="H22" s="5">
        <f t="shared" si="0"/>
        <v>0</v>
      </c>
      <c r="I22" s="5">
        <f t="shared" si="1"/>
        <v>0</v>
      </c>
      <c r="J22" s="2" t="s">
        <v>31</v>
      </c>
      <c r="K22" s="2" t="s">
        <v>589</v>
      </c>
      <c r="M22" t="s">
        <v>220</v>
      </c>
      <c r="P22" s="9" t="s">
        <v>203</v>
      </c>
      <c r="Q22" s="9">
        <f>COUNTIFS(J:J,"Euthanized",B:B,"Stray w/identification")</f>
        <v>4</v>
      </c>
      <c r="T22" s="9" t="s">
        <v>210</v>
      </c>
      <c r="U22" s="9">
        <f>COUNTIFS(J:J,"DOA",D:D,"Senior")</f>
        <v>0</v>
      </c>
      <c r="AD22" s="33" t="str">
        <f t="shared" si="2"/>
        <v>Monday</v>
      </c>
    </row>
    <row r="23" spans="1:30" ht="19" x14ac:dyDescent="0.25">
      <c r="A23" s="3">
        <v>39466</v>
      </c>
      <c r="B23" s="2" t="s">
        <v>36</v>
      </c>
      <c r="C23" t="s">
        <v>15</v>
      </c>
      <c r="D23" t="s">
        <v>207</v>
      </c>
      <c r="E23" s="2">
        <v>45670</v>
      </c>
      <c r="F23" s="2" cm="1">
        <f t="array" ref="F23">_xlfn.IFS(B23="Owner Surrender",E23,B23="Stray",E23+6,B23="Stray w/identification",E23+11,B23="Bite",E23+10,B23="Other",E23+30,B23="BAS",E23+56,B23="Seized",E23)</f>
        <v>45670</v>
      </c>
      <c r="G23" s="2">
        <v>45673</v>
      </c>
      <c r="H23" s="5">
        <f t="shared" si="0"/>
        <v>3</v>
      </c>
      <c r="I23" s="5">
        <f t="shared" si="1"/>
        <v>3</v>
      </c>
      <c r="J23" s="2" t="s">
        <v>31</v>
      </c>
      <c r="K23" s="2" t="s">
        <v>587</v>
      </c>
      <c r="P23" s="9" t="s">
        <v>52</v>
      </c>
      <c r="Q23" s="9">
        <f>COUNTIFS(J:J,"Euthanized",B:B,"Seized")</f>
        <v>8</v>
      </c>
      <c r="S23" s="10" t="s">
        <v>205</v>
      </c>
      <c r="T23" s="10"/>
      <c r="U23" s="10"/>
      <c r="AD23" s="33" t="str">
        <f t="shared" si="2"/>
        <v>Thursday</v>
      </c>
    </row>
    <row r="24" spans="1:30" x14ac:dyDescent="0.2">
      <c r="A24" s="3">
        <v>39467</v>
      </c>
      <c r="B24" s="2" t="s">
        <v>36</v>
      </c>
      <c r="C24" t="s">
        <v>7</v>
      </c>
      <c r="D24" t="s">
        <v>207</v>
      </c>
      <c r="E24" s="2">
        <v>45670</v>
      </c>
      <c r="F24" s="2" cm="1">
        <f t="array" ref="F24">_xlfn.IFS(B24="Owner Surrender",E24,B24="Stray",E24+6,B24="Stray w/identification",E24+11,B24="Bite",E24+10,B24="Other",E24+30,B24="BAS",E24+56,B24="Seized",E24)</f>
        <v>45670</v>
      </c>
      <c r="G24" s="2">
        <v>45679</v>
      </c>
      <c r="H24" s="5">
        <f t="shared" si="0"/>
        <v>9</v>
      </c>
      <c r="I24" s="5">
        <f t="shared" si="1"/>
        <v>9</v>
      </c>
      <c r="J24" s="2" t="s">
        <v>18</v>
      </c>
      <c r="K24" s="2" t="s">
        <v>586</v>
      </c>
      <c r="L24" s="2"/>
      <c r="P24" s="9" t="s">
        <v>60</v>
      </c>
      <c r="Q24" s="9">
        <f>COUNTIFS(J:J,"Euthanized",B:B,"Other")</f>
        <v>10</v>
      </c>
      <c r="T24" s="9" t="s">
        <v>208</v>
      </c>
      <c r="U24" s="9">
        <f>COUNTIFS(J:J,"RTO",D:D,"0-6 months")</f>
        <v>2</v>
      </c>
      <c r="AD24" s="33" t="str">
        <f t="shared" si="2"/>
        <v>Wednesday</v>
      </c>
    </row>
    <row r="25" spans="1:30" x14ac:dyDescent="0.2">
      <c r="A25" s="3">
        <v>39468</v>
      </c>
      <c r="B25" s="2" t="s">
        <v>36</v>
      </c>
      <c r="C25" t="s">
        <v>10</v>
      </c>
      <c r="D25" t="s">
        <v>208</v>
      </c>
      <c r="E25" s="2">
        <v>45670</v>
      </c>
      <c r="F25" s="2" cm="1">
        <f t="array" ref="F25">_xlfn.IFS(B25="Owner Surrender",E25,B25="Stray",E25+6,B25="Stray w/identification",E25+11,B25="Bite",E25+10,B25="Other",E25+30,B25="BAS",E25+56,B25="Seized",E25)</f>
        <v>45670</v>
      </c>
      <c r="J25" s="2" t="s">
        <v>21</v>
      </c>
      <c r="K25" s="2" t="s">
        <v>586</v>
      </c>
      <c r="P25" s="9" t="s">
        <v>204</v>
      </c>
      <c r="Q25" s="9">
        <f>COUNTIFS(J:J,"Euthanized",B:B,"BAS")</f>
        <v>5</v>
      </c>
      <c r="T25" s="9" t="s">
        <v>209</v>
      </c>
      <c r="U25" s="9">
        <f>COUNTIFS(J:J,"RTO",D:D,"6-12 months")</f>
        <v>0</v>
      </c>
      <c r="AD25" s="33" t="str">
        <f t="shared" si="2"/>
        <v>Saturday</v>
      </c>
    </row>
    <row r="26" spans="1:30" x14ac:dyDescent="0.2">
      <c r="A26" s="3">
        <v>39469</v>
      </c>
      <c r="B26" s="2" t="s">
        <v>36</v>
      </c>
      <c r="C26" t="s">
        <v>10</v>
      </c>
      <c r="D26" t="s">
        <v>208</v>
      </c>
      <c r="E26" s="2">
        <v>45670</v>
      </c>
      <c r="F26" s="2" cm="1">
        <f t="array" ref="F26">_xlfn.IFS(B26="Owner Surrender",E26,B26="Stray",E26+6,B26="Stray w/identification",E26+11,B26="Bite",E26+10,B26="Other",E26+30,B26="BAS",E26+56,B26="Seized",E26)</f>
        <v>45670</v>
      </c>
      <c r="G26" s="2">
        <v>45679</v>
      </c>
      <c r="H26" s="5">
        <f t="shared" ref="H26:H37" si="3">+G26-E26</f>
        <v>9</v>
      </c>
      <c r="I26" s="5">
        <f t="shared" ref="I26:I89" si="4">G26-F26</f>
        <v>9</v>
      </c>
      <c r="J26" s="2" t="s">
        <v>18</v>
      </c>
      <c r="K26" s="2" t="s">
        <v>586</v>
      </c>
      <c r="P26" s="9" t="s">
        <v>41</v>
      </c>
      <c r="Q26" s="9">
        <f>COUNTIFS(J:J,"Euthanized",B:B,"Bite")</f>
        <v>3</v>
      </c>
      <c r="T26" s="9" t="s">
        <v>207</v>
      </c>
      <c r="U26" s="9">
        <f>COUNTIFS(J:J,"RTO",D:D,"Adult")</f>
        <v>9</v>
      </c>
      <c r="AD26" s="33" t="str">
        <f t="shared" si="2"/>
        <v>Wednesday</v>
      </c>
    </row>
    <row r="27" spans="1:30" ht="19" x14ac:dyDescent="0.25">
      <c r="A27" s="3">
        <v>39470</v>
      </c>
      <c r="B27" s="2" t="s">
        <v>36</v>
      </c>
      <c r="C27" t="s">
        <v>10</v>
      </c>
      <c r="D27" t="s">
        <v>208</v>
      </c>
      <c r="E27" s="2">
        <v>45670</v>
      </c>
      <c r="F27" s="2" cm="1">
        <f t="array" ref="F27">_xlfn.IFS(B27="Owner Surrender",E27,B27="Stray",E27+6,B27="Stray w/identification",E27+11,B27="Bite",E27+10,B27="Other",E27+30,B27="BAS",E27+56,B27="Seized",E27)</f>
        <v>45670</v>
      </c>
      <c r="G27" s="2">
        <v>45679</v>
      </c>
      <c r="H27" s="5">
        <f t="shared" si="3"/>
        <v>9</v>
      </c>
      <c r="I27" s="5">
        <f t="shared" si="4"/>
        <v>9</v>
      </c>
      <c r="J27" s="2" t="s">
        <v>18</v>
      </c>
      <c r="K27" s="2" t="s">
        <v>586</v>
      </c>
      <c r="O27" s="10" t="s">
        <v>28</v>
      </c>
      <c r="P27" s="10"/>
      <c r="Q27" s="10">
        <f>SUM(Q28:Q34)</f>
        <v>16</v>
      </c>
      <c r="T27" s="9" t="s">
        <v>210</v>
      </c>
      <c r="U27" s="9">
        <f>COUNTIFS(J:J,"RTO",D:D,"Senior")</f>
        <v>1</v>
      </c>
      <c r="AD27" s="33" t="str">
        <f t="shared" si="2"/>
        <v>Wednesday</v>
      </c>
    </row>
    <row r="28" spans="1:30" ht="19" x14ac:dyDescent="0.25">
      <c r="A28" s="3">
        <v>39471</v>
      </c>
      <c r="B28" s="2" t="s">
        <v>36</v>
      </c>
      <c r="C28" t="s">
        <v>10</v>
      </c>
      <c r="D28" t="s">
        <v>208</v>
      </c>
      <c r="E28" s="2">
        <v>45670</v>
      </c>
      <c r="F28" s="2" cm="1">
        <f t="array" ref="F28">_xlfn.IFS(B28="Owner Surrender",E28,B28="Stray",E28+6,B28="Stray w/identification",E28+11,B28="Bite",E28+10,B28="Other",E28+30,B28="BAS",E28+56,B28="Seized",E28)</f>
        <v>45670</v>
      </c>
      <c r="G28" s="2">
        <v>45679</v>
      </c>
      <c r="H28" s="5">
        <f t="shared" si="3"/>
        <v>9</v>
      </c>
      <c r="I28" s="5">
        <f t="shared" si="4"/>
        <v>9</v>
      </c>
      <c r="J28" s="2" t="s">
        <v>18</v>
      </c>
      <c r="K28" s="2" t="s">
        <v>586</v>
      </c>
      <c r="P28" s="9" t="s">
        <v>36</v>
      </c>
      <c r="Q28" s="9">
        <f>COUNTIFS(J:J,"DOA",B:B,"Owner Surrender")</f>
        <v>2</v>
      </c>
      <c r="S28" s="10" t="s">
        <v>206</v>
      </c>
      <c r="T28" s="10"/>
      <c r="U28" s="10"/>
      <c r="AD28" s="33" t="str">
        <f t="shared" si="2"/>
        <v>Wednesday</v>
      </c>
    </row>
    <row r="29" spans="1:30" x14ac:dyDescent="0.2">
      <c r="A29" s="3">
        <v>39472</v>
      </c>
      <c r="B29" s="2" t="s">
        <v>36</v>
      </c>
      <c r="C29" t="s">
        <v>10</v>
      </c>
      <c r="D29" t="s">
        <v>208</v>
      </c>
      <c r="E29" s="2">
        <v>45670</v>
      </c>
      <c r="F29" s="2" cm="1">
        <f t="array" ref="F29">_xlfn.IFS(B29="Owner Surrender",E29,B29="Stray",E29+6,B29="Stray w/identification",E29+11,B29="Bite",E29+10,B29="Other",E29+30,B29="BAS",E29+56,B29="Seized",E29)</f>
        <v>45670</v>
      </c>
      <c r="G29" s="2">
        <v>45679</v>
      </c>
      <c r="H29" s="5">
        <f t="shared" si="3"/>
        <v>9</v>
      </c>
      <c r="I29" s="5">
        <f t="shared" si="4"/>
        <v>9</v>
      </c>
      <c r="J29" s="2" t="s">
        <v>18</v>
      </c>
      <c r="K29" s="2" t="s">
        <v>586</v>
      </c>
      <c r="P29" s="9" t="s">
        <v>38</v>
      </c>
      <c r="Q29" s="9">
        <f>COUNTIFS(J:J,"DOA",B:B,"Stray")</f>
        <v>8</v>
      </c>
      <c r="T29" s="9" t="s">
        <v>208</v>
      </c>
      <c r="U29" s="9">
        <f>COUNTIFS(J:J,"Shelter",D:D,"0-6 months")</f>
        <v>11</v>
      </c>
      <c r="AD29" s="33" t="str">
        <f t="shared" si="2"/>
        <v>Wednesday</v>
      </c>
    </row>
    <row r="30" spans="1:30" x14ac:dyDescent="0.2">
      <c r="A30" s="3">
        <v>39476</v>
      </c>
      <c r="B30" s="2" t="s">
        <v>36</v>
      </c>
      <c r="C30" t="s">
        <v>15</v>
      </c>
      <c r="D30" t="s">
        <v>208</v>
      </c>
      <c r="E30" s="2">
        <v>45670</v>
      </c>
      <c r="F30" s="2" cm="1">
        <f t="array" ref="F30">_xlfn.IFS(B30="Owner Surrender",E30,B30="Stray",E30+6,B30="Stray w/identification",E30+11,B30="Bite",E30+10,B30="Other",E30+30,B30="BAS",E30+56,B30="Seized",E30)</f>
        <v>45670</v>
      </c>
      <c r="G30" s="2">
        <v>45671</v>
      </c>
      <c r="H30" s="5">
        <f t="shared" si="3"/>
        <v>1</v>
      </c>
      <c r="I30" s="5">
        <f t="shared" si="4"/>
        <v>1</v>
      </c>
      <c r="J30" s="2" t="s">
        <v>11</v>
      </c>
      <c r="K30" s="2" t="s">
        <v>586</v>
      </c>
      <c r="P30" s="9" t="s">
        <v>203</v>
      </c>
      <c r="Q30" s="9">
        <f>COUNTIFS(J:J,"DOA",B:B,"Stray w/identification")</f>
        <v>1</v>
      </c>
      <c r="T30" s="9" t="s">
        <v>209</v>
      </c>
      <c r="U30" s="9">
        <f>COUNTIFS(J:J,"Shelter",D:D,"6-12 months")</f>
        <v>1</v>
      </c>
      <c r="AD30" s="33" t="str">
        <f t="shared" si="2"/>
        <v>Tuesday</v>
      </c>
    </row>
    <row r="31" spans="1:30" x14ac:dyDescent="0.2">
      <c r="A31" s="3">
        <v>39479</v>
      </c>
      <c r="B31" s="2" t="s">
        <v>36</v>
      </c>
      <c r="C31" t="s">
        <v>10</v>
      </c>
      <c r="D31" t="s">
        <v>208</v>
      </c>
      <c r="E31" s="2">
        <v>45672</v>
      </c>
      <c r="F31" s="2" cm="1">
        <f t="array" ref="F31">_xlfn.IFS(B31="Owner Surrender",E31,B31="Stray",E31+6,B31="Stray w/identification",E31+11,B31="Bite",E31+10,B31="Other",E31+30,B31="BAS",E31+56,B31="Seized",E31)</f>
        <v>45672</v>
      </c>
      <c r="G31" s="2">
        <v>45677</v>
      </c>
      <c r="H31" s="5">
        <f t="shared" si="3"/>
        <v>5</v>
      </c>
      <c r="I31" s="5">
        <f t="shared" si="4"/>
        <v>5</v>
      </c>
      <c r="J31" s="2" t="s">
        <v>11</v>
      </c>
      <c r="K31" s="2" t="s">
        <v>586</v>
      </c>
      <c r="L31" t="s">
        <v>96</v>
      </c>
      <c r="P31" s="9" t="s">
        <v>52</v>
      </c>
      <c r="Q31" s="9">
        <f>COUNTIFS(J:J,"DOA",B:B,"Seized")</f>
        <v>1</v>
      </c>
      <c r="T31" s="9" t="s">
        <v>207</v>
      </c>
      <c r="U31" s="9">
        <f>COUNTIFS(J:J,"Shelter",D:D,"Adult")</f>
        <v>7</v>
      </c>
      <c r="AD31" s="33" t="str">
        <f t="shared" si="2"/>
        <v>Monday</v>
      </c>
    </row>
    <row r="32" spans="1:30" x14ac:dyDescent="0.2">
      <c r="A32" s="3">
        <v>39482</v>
      </c>
      <c r="B32" s="2" t="s">
        <v>36</v>
      </c>
      <c r="C32" t="s">
        <v>7</v>
      </c>
      <c r="D32" t="s">
        <v>209</v>
      </c>
      <c r="E32" s="2">
        <v>45672</v>
      </c>
      <c r="F32" s="2" cm="1">
        <f t="array" ref="F32">_xlfn.IFS(B32="Owner Surrender",E32,B32="Stray",E32+6,B32="Stray w/identification",E32+11,B32="Bite",E32+10,B32="Other",E32+30,B32="BAS",E32+56,B32="Seized",E32)</f>
        <v>45672</v>
      </c>
      <c r="G32" s="2">
        <v>45680</v>
      </c>
      <c r="H32" s="5">
        <f t="shared" si="3"/>
        <v>8</v>
      </c>
      <c r="I32" s="5">
        <f t="shared" si="4"/>
        <v>8</v>
      </c>
      <c r="J32" s="2" t="s">
        <v>18</v>
      </c>
      <c r="K32" s="2" t="s">
        <v>586</v>
      </c>
      <c r="P32" s="9" t="s">
        <v>60</v>
      </c>
      <c r="Q32" s="9">
        <f>COUNTIFS(J:J,"DOA",B:B,"Other")</f>
        <v>1</v>
      </c>
      <c r="T32" s="9" t="s">
        <v>210</v>
      </c>
      <c r="U32" s="9">
        <f>COUNTIFS(J:J,"Shelter",D:D,"Senior")</f>
        <v>0</v>
      </c>
      <c r="AD32" s="33" t="str">
        <f t="shared" si="2"/>
        <v>Thursday</v>
      </c>
    </row>
    <row r="33" spans="1:30" x14ac:dyDescent="0.2">
      <c r="A33" s="3">
        <v>39483</v>
      </c>
      <c r="B33" s="2" t="s">
        <v>36</v>
      </c>
      <c r="C33" t="s">
        <v>7</v>
      </c>
      <c r="D33" t="s">
        <v>209</v>
      </c>
      <c r="E33" s="2">
        <v>45672</v>
      </c>
      <c r="F33" s="2" cm="1">
        <f t="array" ref="F33">_xlfn.IFS(B33="Owner Surrender",E33,B33="Stray",E33+6,B33="Stray w/identification",E33+11,B33="Bite",E33+10,B33="Other",E33+30,B33="BAS",E33+56,B33="Seized",E33)</f>
        <v>45672</v>
      </c>
      <c r="G33" s="2">
        <v>45680</v>
      </c>
      <c r="H33" s="5">
        <f t="shared" si="3"/>
        <v>8</v>
      </c>
      <c r="I33" s="5">
        <f t="shared" si="4"/>
        <v>8</v>
      </c>
      <c r="J33" s="2" t="s">
        <v>18</v>
      </c>
      <c r="K33" s="2" t="s">
        <v>586</v>
      </c>
      <c r="P33" s="9" t="s">
        <v>204</v>
      </c>
      <c r="Q33" s="9">
        <f>COUNTIFS(J:J,"DOA",B:B,"BAS")</f>
        <v>3</v>
      </c>
      <c r="AD33" s="33" t="str">
        <f t="shared" si="2"/>
        <v>Thursday</v>
      </c>
    </row>
    <row r="34" spans="1:30" x14ac:dyDescent="0.2">
      <c r="A34" s="3">
        <v>39484</v>
      </c>
      <c r="B34" s="2" t="s">
        <v>36</v>
      </c>
      <c r="C34" t="s">
        <v>7</v>
      </c>
      <c r="D34" t="s">
        <v>209</v>
      </c>
      <c r="E34" s="2">
        <v>45672</v>
      </c>
      <c r="F34" s="2" cm="1">
        <f t="array" ref="F34">_xlfn.IFS(B34="Owner Surrender",E34,B34="Stray",E34+6,B34="Stray w/identification",E34+11,B34="Bite",E34+10,B34="Other",E34+30,B34="BAS",E34+56,B34="Seized",E34)</f>
        <v>45672</v>
      </c>
      <c r="G34" s="2">
        <v>45680</v>
      </c>
      <c r="H34" s="5">
        <f t="shared" si="3"/>
        <v>8</v>
      </c>
      <c r="I34" s="5">
        <f t="shared" si="4"/>
        <v>8</v>
      </c>
      <c r="J34" s="2" t="s">
        <v>18</v>
      </c>
      <c r="K34" s="2" t="s">
        <v>586</v>
      </c>
      <c r="M34" s="2"/>
      <c r="P34" s="9" t="s">
        <v>41</v>
      </c>
      <c r="Q34" s="9">
        <f>COUNTIFS(J:J,"DOA",B:B,"Bite")</f>
        <v>0</v>
      </c>
      <c r="AD34" s="33" t="str">
        <f t="shared" si="2"/>
        <v>Thursday</v>
      </c>
    </row>
    <row r="35" spans="1:30" ht="19" x14ac:dyDescent="0.25">
      <c r="A35" s="3">
        <v>39495</v>
      </c>
      <c r="B35" s="2" t="s">
        <v>38</v>
      </c>
      <c r="C35" t="s">
        <v>7</v>
      </c>
      <c r="D35" t="s">
        <v>207</v>
      </c>
      <c r="E35" s="2">
        <v>45674</v>
      </c>
      <c r="F35" s="2" cm="1">
        <f t="array" ref="F35">_xlfn.IFS(B35="Owner Surrender",E35,B35="Stray",E35+6,B35="Stray w/identification",E35+11,B35="Bite",E35+10,B35="Other",E35+30,B35="BAS",E35+56,B35="Seized",E35)</f>
        <v>45680</v>
      </c>
      <c r="G35" s="2">
        <v>45685</v>
      </c>
      <c r="H35" s="5">
        <f t="shared" si="3"/>
        <v>11</v>
      </c>
      <c r="I35" s="5">
        <f t="shared" si="4"/>
        <v>5</v>
      </c>
      <c r="J35" s="2" t="s">
        <v>31</v>
      </c>
      <c r="K35" s="2" t="s">
        <v>587</v>
      </c>
      <c r="O35" s="10" t="s">
        <v>205</v>
      </c>
      <c r="P35" s="10"/>
      <c r="Q35" s="10">
        <f>SUM(Q36:Q42)</f>
        <v>12</v>
      </c>
      <c r="AD35" s="33" t="str">
        <f t="shared" si="2"/>
        <v>Tuesday</v>
      </c>
    </row>
    <row r="36" spans="1:30" x14ac:dyDescent="0.2">
      <c r="A36" s="3">
        <v>39502</v>
      </c>
      <c r="B36" s="2" t="s">
        <v>36</v>
      </c>
      <c r="C36" t="s">
        <v>15</v>
      </c>
      <c r="D36" t="s">
        <v>207</v>
      </c>
      <c r="E36" s="2">
        <v>45674</v>
      </c>
      <c r="F36" s="2" cm="1">
        <f t="array" ref="F36">_xlfn.IFS(B36="Owner Surrender",E36,B36="Stray",E36+6,B36="Stray w/identification",E36+11,B36="Bite",E36+10,B36="Other",E36+30,B36="BAS",E36+56,B36="Seized",E36)</f>
        <v>45674</v>
      </c>
      <c r="G36" s="2">
        <v>45680</v>
      </c>
      <c r="H36" s="5">
        <f t="shared" si="3"/>
        <v>6</v>
      </c>
      <c r="I36" s="5">
        <f t="shared" si="4"/>
        <v>6</v>
      </c>
      <c r="J36" s="2" t="s">
        <v>18</v>
      </c>
      <c r="K36" s="2" t="s">
        <v>586</v>
      </c>
      <c r="M36" t="s">
        <v>228</v>
      </c>
      <c r="P36" s="9" t="s">
        <v>36</v>
      </c>
      <c r="Q36" s="9">
        <f>COUNTIFS(J:J,"RTO",B:B,"Owner Surrender")</f>
        <v>2</v>
      </c>
      <c r="AD36" s="33" t="str">
        <f t="shared" si="2"/>
        <v>Thursday</v>
      </c>
    </row>
    <row r="37" spans="1:30" x14ac:dyDescent="0.2">
      <c r="A37" s="3">
        <v>39504</v>
      </c>
      <c r="B37" s="2" t="s">
        <v>36</v>
      </c>
      <c r="C37" t="s">
        <v>7</v>
      </c>
      <c r="D37" t="s">
        <v>207</v>
      </c>
      <c r="E37" s="2">
        <v>45674</v>
      </c>
      <c r="F37" s="2" cm="1">
        <f t="array" ref="F37">_xlfn.IFS(B37="Owner Surrender",E37,B37="Stray",E37+6,B37="Stray w/identification",E37+11,B37="Bite",E37+10,B37="Other",E37+30,B37="BAS",E37+56,B37="Seized",E37)</f>
        <v>45674</v>
      </c>
      <c r="G37" s="2">
        <v>45680</v>
      </c>
      <c r="H37" s="5">
        <f t="shared" si="3"/>
        <v>6</v>
      </c>
      <c r="I37" s="5">
        <f t="shared" si="4"/>
        <v>6</v>
      </c>
      <c r="J37" s="2" t="s">
        <v>18</v>
      </c>
      <c r="K37" s="2" t="s">
        <v>586</v>
      </c>
      <c r="L37" t="s">
        <v>229</v>
      </c>
      <c r="P37" s="9" t="s">
        <v>38</v>
      </c>
      <c r="Q37" s="9">
        <f>COUNTIFS(J:J,"RTO",B:B,"Stray")</f>
        <v>6</v>
      </c>
      <c r="AD37" s="33" t="str">
        <f t="shared" si="2"/>
        <v>Thursday</v>
      </c>
    </row>
    <row r="38" spans="1:30" x14ac:dyDescent="0.2">
      <c r="A38" s="3">
        <v>39509</v>
      </c>
      <c r="B38" s="2" t="s">
        <v>38</v>
      </c>
      <c r="C38" t="s">
        <v>7</v>
      </c>
      <c r="D38" t="s">
        <v>207</v>
      </c>
      <c r="E38" s="2">
        <v>45675</v>
      </c>
      <c r="F38" s="2" cm="1">
        <f t="array" ref="F38">_xlfn.IFS(B38="Owner Surrender",E38,B38="Stray",E38+6,B38="Stray w/identification",E38+11,B38="Bite",E38+10,B38="Other",E38+30,B38="BAS",E38+56,B38="Seized",E38)</f>
        <v>45681</v>
      </c>
      <c r="G38" s="2">
        <v>45681</v>
      </c>
      <c r="I38" s="5">
        <f t="shared" si="4"/>
        <v>0</v>
      </c>
      <c r="J38" s="2" t="s">
        <v>31</v>
      </c>
      <c r="K38" s="2" t="s">
        <v>587</v>
      </c>
      <c r="M38" s="2" t="s">
        <v>34</v>
      </c>
      <c r="P38" s="9" t="s">
        <v>203</v>
      </c>
      <c r="Q38" s="9">
        <f>COUNTIFS(J:J,"RTO",B:B,"Stray w/identification")</f>
        <v>1</v>
      </c>
      <c r="AD38" s="33" t="str">
        <f t="shared" si="2"/>
        <v>Friday</v>
      </c>
    </row>
    <row r="39" spans="1:30" x14ac:dyDescent="0.2">
      <c r="A39" s="3">
        <v>39511</v>
      </c>
      <c r="B39" s="2" t="s">
        <v>38</v>
      </c>
      <c r="C39" t="s">
        <v>15</v>
      </c>
      <c r="D39" t="s">
        <v>208</v>
      </c>
      <c r="E39" s="2">
        <v>45675</v>
      </c>
      <c r="F39" s="2" cm="1">
        <f t="array" ref="F39">_xlfn.IFS(B39="Owner Surrender",E39,B39="Stray",E39+6,B39="Stray w/identification",E39+11,B39="Bite",E39+10,B39="Other",E39+30,B39="BAS",E39+56,B39="Seized",E39)</f>
        <v>45681</v>
      </c>
      <c r="G39" s="2">
        <v>45675</v>
      </c>
      <c r="H39" s="5">
        <f t="shared" ref="H39:H102" si="5">+G39-E39</f>
        <v>0</v>
      </c>
      <c r="I39" s="5">
        <f t="shared" si="4"/>
        <v>-6</v>
      </c>
      <c r="J39" s="2" t="s">
        <v>31</v>
      </c>
      <c r="K39" s="2" t="s">
        <v>588</v>
      </c>
      <c r="M39" t="s">
        <v>219</v>
      </c>
      <c r="P39" s="9" t="s">
        <v>52</v>
      </c>
      <c r="Q39" s="9">
        <f>COUNTIFS(J:J,"RTO",B:B,"Seized")</f>
        <v>0</v>
      </c>
      <c r="AD39" s="33" t="str">
        <f t="shared" si="2"/>
        <v>Saturday</v>
      </c>
    </row>
    <row r="40" spans="1:30" x14ac:dyDescent="0.2">
      <c r="A40" s="3">
        <v>39521</v>
      </c>
      <c r="B40" s="2" t="s">
        <v>38</v>
      </c>
      <c r="C40" t="s">
        <v>7</v>
      </c>
      <c r="D40" t="s">
        <v>208</v>
      </c>
      <c r="E40" s="2">
        <v>45677</v>
      </c>
      <c r="F40" s="2" cm="1">
        <f t="array" ref="F40">_xlfn.IFS(B40="Owner Surrender",E40,B40="Stray",E40+6,B40="Stray w/identification",E40+11,B40="Bite",E40+10,B40="Other",E40+30,B40="BAS",E40+56,B40="Seized",E40)</f>
        <v>45683</v>
      </c>
      <c r="G40" s="2">
        <v>45685</v>
      </c>
      <c r="H40" s="5">
        <f t="shared" si="5"/>
        <v>8</v>
      </c>
      <c r="I40" s="5">
        <f t="shared" si="4"/>
        <v>2</v>
      </c>
      <c r="J40" s="2" t="s">
        <v>11</v>
      </c>
      <c r="K40" s="2" t="s">
        <v>586</v>
      </c>
      <c r="P40" s="9" t="s">
        <v>60</v>
      </c>
      <c r="Q40" s="9">
        <f>COUNTIFS(J:J,"RTO",B:B,"Other")</f>
        <v>3</v>
      </c>
      <c r="AD40" s="33" t="str">
        <f t="shared" si="2"/>
        <v>Tuesday</v>
      </c>
    </row>
    <row r="41" spans="1:30" x14ac:dyDescent="0.2">
      <c r="A41" s="3">
        <v>39522</v>
      </c>
      <c r="B41" s="2" t="s">
        <v>36</v>
      </c>
      <c r="C41" t="s">
        <v>15</v>
      </c>
      <c r="D41" t="s">
        <v>210</v>
      </c>
      <c r="E41" s="2">
        <v>45678</v>
      </c>
      <c r="F41" s="2" cm="1">
        <f t="array" ref="F41">_xlfn.IFS(B41="Owner Surrender",E41,B41="Stray",E41+6,B41="Stray w/identification",E41+11,B41="Bite",E41+10,B41="Other",E41+30,B41="BAS",E41+56,B41="Seized",E41)</f>
        <v>45678</v>
      </c>
      <c r="G41" s="2">
        <v>45678</v>
      </c>
      <c r="H41" s="5">
        <f t="shared" si="5"/>
        <v>0</v>
      </c>
      <c r="I41" s="5">
        <f t="shared" si="4"/>
        <v>0</v>
      </c>
      <c r="J41" s="2" t="s">
        <v>31</v>
      </c>
      <c r="K41" s="2" t="s">
        <v>589</v>
      </c>
      <c r="L41" t="s">
        <v>222</v>
      </c>
      <c r="M41" t="s">
        <v>221</v>
      </c>
      <c r="P41" s="9" t="s">
        <v>204</v>
      </c>
      <c r="Q41" s="9">
        <f>COUNTIFS(J:J,"RTO",B:B,"BAS")</f>
        <v>0</v>
      </c>
      <c r="AD41" s="33" t="str">
        <f t="shared" si="2"/>
        <v>Tuesday</v>
      </c>
    </row>
    <row r="42" spans="1:30" x14ac:dyDescent="0.2">
      <c r="A42" s="3">
        <v>39525</v>
      </c>
      <c r="B42" s="2" t="s">
        <v>36</v>
      </c>
      <c r="C42" t="s">
        <v>7</v>
      </c>
      <c r="D42" t="s">
        <v>207</v>
      </c>
      <c r="E42" s="2">
        <v>45678</v>
      </c>
      <c r="F42" s="2" cm="1">
        <f t="array" ref="F42">_xlfn.IFS(B42="Owner Surrender",E42,B42="Stray",E42+6,B42="Stray w/identification",E42+11,B42="Bite",E42+10,B42="Other",E42+30,B42="BAS",E42+56,B42="Seized",E42)</f>
        <v>45678</v>
      </c>
      <c r="G42" s="2">
        <v>45680</v>
      </c>
      <c r="H42" s="5">
        <f t="shared" si="5"/>
        <v>2</v>
      </c>
      <c r="I42" s="5">
        <f t="shared" si="4"/>
        <v>2</v>
      </c>
      <c r="J42" s="2" t="s">
        <v>18</v>
      </c>
      <c r="K42" s="2" t="s">
        <v>586</v>
      </c>
      <c r="L42" t="s">
        <v>230</v>
      </c>
      <c r="P42" s="9" t="s">
        <v>41</v>
      </c>
      <c r="Q42" s="9">
        <f>COUNTIFS(J:J,"RTO",B:B,"Bite")</f>
        <v>0</v>
      </c>
      <c r="AD42" s="33" t="str">
        <f t="shared" si="2"/>
        <v>Thursday</v>
      </c>
    </row>
    <row r="43" spans="1:30" ht="19" x14ac:dyDescent="0.25">
      <c r="A43" s="3">
        <v>39526</v>
      </c>
      <c r="B43" s="2" t="s">
        <v>36</v>
      </c>
      <c r="C43" t="s">
        <v>10</v>
      </c>
      <c r="D43" t="s">
        <v>207</v>
      </c>
      <c r="E43" s="2">
        <v>45679</v>
      </c>
      <c r="F43" s="2" cm="1">
        <f t="array" ref="F43">_xlfn.IFS(B43="Owner Surrender",E43,B43="Stray",E43+6,B43="Stray w/identification",E43+11,B43="Bite",E43+10,B43="Other",E43+30,B43="BAS",E43+56,B43="Seized",E43)</f>
        <v>45679</v>
      </c>
      <c r="G43" s="2">
        <v>45680</v>
      </c>
      <c r="H43" s="5">
        <f t="shared" si="5"/>
        <v>1</v>
      </c>
      <c r="I43" s="5">
        <f t="shared" si="4"/>
        <v>1</v>
      </c>
      <c r="J43" s="2" t="s">
        <v>31</v>
      </c>
      <c r="K43" s="2" t="s">
        <v>24</v>
      </c>
      <c r="M43" t="s">
        <v>215</v>
      </c>
      <c r="O43" s="10" t="s">
        <v>206</v>
      </c>
      <c r="P43" s="10"/>
      <c r="Q43" s="10">
        <f>SUM(Q44:Q50)</f>
        <v>19</v>
      </c>
      <c r="AD43" s="33" t="str">
        <f t="shared" si="2"/>
        <v>Thursday</v>
      </c>
    </row>
    <row r="44" spans="1:30" x14ac:dyDescent="0.2">
      <c r="A44" s="3">
        <v>39527</v>
      </c>
      <c r="B44" s="2" t="s">
        <v>36</v>
      </c>
      <c r="C44" t="s">
        <v>7</v>
      </c>
      <c r="D44" t="s">
        <v>209</v>
      </c>
      <c r="E44" s="2">
        <v>45679</v>
      </c>
      <c r="F44" s="2" cm="1">
        <f t="array" ref="F44">_xlfn.IFS(B44="Owner Surrender",E44,B44="Stray",E44+6,B44="Stray w/identification",E44+11,B44="Bite",E44+10,B44="Other",E44+30,B44="BAS",E44+56,B44="Seized",E44)</f>
        <v>45679</v>
      </c>
      <c r="G44" s="2">
        <v>45680</v>
      </c>
      <c r="H44" s="5">
        <f t="shared" si="5"/>
        <v>1</v>
      </c>
      <c r="I44" s="5">
        <f t="shared" si="4"/>
        <v>1</v>
      </c>
      <c r="J44" s="2" t="s">
        <v>31</v>
      </c>
      <c r="K44" s="2" t="s">
        <v>24</v>
      </c>
      <c r="M44" t="s">
        <v>215</v>
      </c>
      <c r="P44" s="9" t="s">
        <v>36</v>
      </c>
      <c r="Q44" s="9">
        <f>COUNTIFS(J:J,"Shelter",B:B,"Owner Surrender")</f>
        <v>9</v>
      </c>
      <c r="AD44" s="33" t="str">
        <f t="shared" si="2"/>
        <v>Thursday</v>
      </c>
    </row>
    <row r="45" spans="1:30" x14ac:dyDescent="0.2">
      <c r="A45" s="3">
        <v>39528</v>
      </c>
      <c r="B45" s="2" t="s">
        <v>36</v>
      </c>
      <c r="C45" t="s">
        <v>7</v>
      </c>
      <c r="D45" t="s">
        <v>209</v>
      </c>
      <c r="E45" s="2">
        <v>45679</v>
      </c>
      <c r="F45" s="2" cm="1">
        <f t="array" ref="F45">_xlfn.IFS(B45="Owner Surrender",E45,B45="Stray",E45+6,B45="Stray w/identification",E45+11,B45="Bite",E45+10,B45="Other",E45+30,B45="BAS",E45+56,B45="Seized",E45)</f>
        <v>45679</v>
      </c>
      <c r="G45" s="2">
        <v>45680</v>
      </c>
      <c r="H45" s="5">
        <f t="shared" si="5"/>
        <v>1</v>
      </c>
      <c r="I45" s="5">
        <f t="shared" si="4"/>
        <v>1</v>
      </c>
      <c r="J45" s="2" t="s">
        <v>31</v>
      </c>
      <c r="K45" s="2" t="s">
        <v>24</v>
      </c>
      <c r="M45" t="s">
        <v>215</v>
      </c>
      <c r="P45" s="9" t="s">
        <v>38</v>
      </c>
      <c r="Q45" s="9">
        <f>COUNTIFS(J:J,"Shelter",B:B,"Stray")</f>
        <v>9</v>
      </c>
      <c r="AD45" s="33" t="str">
        <f t="shared" si="2"/>
        <v>Thursday</v>
      </c>
    </row>
    <row r="46" spans="1:30" x14ac:dyDescent="0.2">
      <c r="A46" s="3">
        <v>39529</v>
      </c>
      <c r="B46" s="2" t="s">
        <v>36</v>
      </c>
      <c r="C46" t="s">
        <v>7</v>
      </c>
      <c r="D46" t="s">
        <v>209</v>
      </c>
      <c r="E46" s="2">
        <v>45679</v>
      </c>
      <c r="F46" s="2" cm="1">
        <f t="array" ref="F46">_xlfn.IFS(B46="Owner Surrender",E46,B46="Stray",E46+6,B46="Stray w/identification",E46+11,B46="Bite",E46+10,B46="Other",E46+30,B46="BAS",E46+56,B46="Seized",E46)</f>
        <v>45679</v>
      </c>
      <c r="G46" s="2">
        <v>45680</v>
      </c>
      <c r="H46" s="5">
        <f t="shared" si="5"/>
        <v>1</v>
      </c>
      <c r="I46" s="5">
        <f t="shared" si="4"/>
        <v>1</v>
      </c>
      <c r="J46" s="2" t="s">
        <v>31</v>
      </c>
      <c r="K46" s="2" t="s">
        <v>24</v>
      </c>
      <c r="M46" t="s">
        <v>215</v>
      </c>
      <c r="P46" s="9" t="s">
        <v>203</v>
      </c>
      <c r="Q46" s="9">
        <f>COUNTIFS(J:J,"Shelter",B:B,"Stray w/identification")</f>
        <v>1</v>
      </c>
      <c r="AD46" s="33" t="str">
        <f t="shared" si="2"/>
        <v>Thursday</v>
      </c>
    </row>
    <row r="47" spans="1:30" x14ac:dyDescent="0.2">
      <c r="A47" s="3">
        <v>39530</v>
      </c>
      <c r="B47" s="2" t="s">
        <v>36</v>
      </c>
      <c r="C47" t="s">
        <v>7</v>
      </c>
      <c r="D47" t="s">
        <v>209</v>
      </c>
      <c r="E47" s="2">
        <v>45679</v>
      </c>
      <c r="F47" s="2" cm="1">
        <f t="array" ref="F47">_xlfn.IFS(B47="Owner Surrender",E47,B47="Stray",E47+6,B47="Stray w/identification",E47+11,B47="Bite",E47+10,B47="Other",E47+30,B47="BAS",E47+56,B47="Seized",E47)</f>
        <v>45679</v>
      </c>
      <c r="G47" s="2">
        <v>45680</v>
      </c>
      <c r="H47" s="5">
        <f t="shared" si="5"/>
        <v>1</v>
      </c>
      <c r="I47" s="5">
        <f t="shared" si="4"/>
        <v>1</v>
      </c>
      <c r="J47" s="2" t="s">
        <v>31</v>
      </c>
      <c r="K47" s="2" t="s">
        <v>24</v>
      </c>
      <c r="M47" t="s">
        <v>215</v>
      </c>
      <c r="P47" s="9" t="s">
        <v>52</v>
      </c>
      <c r="Q47" s="9">
        <f>COUNTIFS(J:J,"Shelter",B:B,"Seized")</f>
        <v>0</v>
      </c>
      <c r="AD47" s="33" t="str">
        <f t="shared" si="2"/>
        <v>Thursday</v>
      </c>
    </row>
    <row r="48" spans="1:30" x14ac:dyDescent="0.2">
      <c r="A48" s="3">
        <v>39531</v>
      </c>
      <c r="B48" s="2" t="s">
        <v>36</v>
      </c>
      <c r="C48" t="s">
        <v>7</v>
      </c>
      <c r="D48" t="s">
        <v>209</v>
      </c>
      <c r="E48" s="2">
        <v>45679</v>
      </c>
      <c r="F48" s="2" cm="1">
        <f t="array" ref="F48">_xlfn.IFS(B48="Owner Surrender",E48,B48="Stray",E48+6,B48="Stray w/identification",E48+11,B48="Bite",E48+10,B48="Other",E48+30,B48="BAS",E48+56,B48="Seized",E48)</f>
        <v>45679</v>
      </c>
      <c r="G48" s="2">
        <v>45680</v>
      </c>
      <c r="H48" s="5">
        <f t="shared" si="5"/>
        <v>1</v>
      </c>
      <c r="I48" s="5">
        <f t="shared" si="4"/>
        <v>1</v>
      </c>
      <c r="J48" s="2" t="s">
        <v>31</v>
      </c>
      <c r="K48" s="2" t="s">
        <v>24</v>
      </c>
      <c r="M48" t="s">
        <v>215</v>
      </c>
      <c r="P48" s="9" t="s">
        <v>60</v>
      </c>
      <c r="Q48" s="9">
        <f>COUNTIFS(J:J,"Shelter",B:B,"Other")</f>
        <v>0</v>
      </c>
      <c r="AD48" s="33" t="str">
        <f t="shared" si="2"/>
        <v>Thursday</v>
      </c>
    </row>
    <row r="49" spans="1:30" x14ac:dyDescent="0.2">
      <c r="A49" s="3">
        <v>39532</v>
      </c>
      <c r="B49" s="2" t="s">
        <v>36</v>
      </c>
      <c r="C49" t="s">
        <v>7</v>
      </c>
      <c r="D49" t="s">
        <v>209</v>
      </c>
      <c r="E49" s="2">
        <v>45679</v>
      </c>
      <c r="F49" s="2" cm="1">
        <f t="array" ref="F49">_xlfn.IFS(B49="Owner Surrender",E49,B49="Stray",E49+6,B49="Stray w/identification",E49+11,B49="Bite",E49+10,B49="Other",E49+30,B49="BAS",E49+56,B49="Seized",E49)</f>
        <v>45679</v>
      </c>
      <c r="G49" s="2">
        <v>45680</v>
      </c>
      <c r="H49" s="5">
        <f t="shared" si="5"/>
        <v>1</v>
      </c>
      <c r="I49" s="5">
        <f t="shared" si="4"/>
        <v>1</v>
      </c>
      <c r="J49" s="2" t="s">
        <v>31</v>
      </c>
      <c r="K49" s="2" t="s">
        <v>24</v>
      </c>
      <c r="M49" t="s">
        <v>215</v>
      </c>
      <c r="P49" s="9" t="s">
        <v>204</v>
      </c>
      <c r="Q49" s="9">
        <f>COUNTIFS(J:J,"Shelter",B:B,"BAS")</f>
        <v>0</v>
      </c>
      <c r="AD49" s="33" t="str">
        <f t="shared" si="2"/>
        <v>Thursday</v>
      </c>
    </row>
    <row r="50" spans="1:30" x14ac:dyDescent="0.2">
      <c r="A50" s="3">
        <v>39536</v>
      </c>
      <c r="B50" s="2" t="s">
        <v>38</v>
      </c>
      <c r="C50" t="s">
        <v>7</v>
      </c>
      <c r="D50" t="s">
        <v>207</v>
      </c>
      <c r="E50" s="2">
        <v>45680</v>
      </c>
      <c r="F50" s="2" cm="1">
        <f t="array" ref="F50">_xlfn.IFS(B50="Owner Surrender",E50,B50="Stray",E50+6,B50="Stray w/identification",E50+11,B50="Bite",E50+10,B50="Other",E50+30,B50="BAS",E50+56,B50="Seized",E50)</f>
        <v>45686</v>
      </c>
      <c r="G50" s="2">
        <v>45740</v>
      </c>
      <c r="H50" s="5">
        <f t="shared" si="5"/>
        <v>60</v>
      </c>
      <c r="I50" s="5">
        <f t="shared" si="4"/>
        <v>54</v>
      </c>
      <c r="J50" s="2" t="s">
        <v>11</v>
      </c>
      <c r="K50" s="2" t="s">
        <v>586</v>
      </c>
      <c r="L50" t="s">
        <v>211</v>
      </c>
      <c r="P50" s="9" t="s">
        <v>41</v>
      </c>
      <c r="Q50" s="9">
        <f>COUNTIFS(J:J,"Shelter",B:B,"Bite")</f>
        <v>0</v>
      </c>
      <c r="AD50" s="33" t="str">
        <f t="shared" si="2"/>
        <v>Monday</v>
      </c>
    </row>
    <row r="51" spans="1:30" x14ac:dyDescent="0.2">
      <c r="A51" s="3">
        <v>39538</v>
      </c>
      <c r="B51" s="2" t="s">
        <v>36</v>
      </c>
      <c r="C51" t="s">
        <v>7</v>
      </c>
      <c r="D51" t="s">
        <v>207</v>
      </c>
      <c r="E51" s="2">
        <v>45680</v>
      </c>
      <c r="F51" s="2" cm="1">
        <f t="array" ref="F51">_xlfn.IFS(B51="Owner Surrender",E51,B51="Stray",E51+6,B51="Stray w/identification",E51+11,B51="Bite",E51+10,B51="Other",E51+30,B51="BAS",E51+56,B51="Seized",E51)</f>
        <v>45680</v>
      </c>
      <c r="G51" s="2">
        <v>45694</v>
      </c>
      <c r="H51" s="5">
        <f t="shared" si="5"/>
        <v>14</v>
      </c>
      <c r="I51" s="5">
        <f t="shared" si="4"/>
        <v>14</v>
      </c>
      <c r="J51" s="2" t="s">
        <v>31</v>
      </c>
      <c r="K51" s="2" t="s">
        <v>587</v>
      </c>
      <c r="AD51" s="33" t="str">
        <f t="shared" si="2"/>
        <v>Thursday</v>
      </c>
    </row>
    <row r="52" spans="1:30" x14ac:dyDescent="0.2">
      <c r="A52" s="3">
        <v>39539</v>
      </c>
      <c r="B52" s="2" t="s">
        <v>36</v>
      </c>
      <c r="C52" t="s">
        <v>7</v>
      </c>
      <c r="D52" t="s">
        <v>207</v>
      </c>
      <c r="E52" s="2">
        <v>45680</v>
      </c>
      <c r="F52" s="2" cm="1">
        <f t="array" ref="F52">_xlfn.IFS(B52="Owner Surrender",E52,B52="Stray",E52+6,B52="Stray w/identification",E52+11,B52="Bite",E52+10,B52="Other",E52+30,B52="BAS",E52+56,B52="Seized",E52)</f>
        <v>45680</v>
      </c>
      <c r="G52" s="2">
        <v>45692</v>
      </c>
      <c r="H52" s="5">
        <f t="shared" si="5"/>
        <v>12</v>
      </c>
      <c r="I52" s="5">
        <f t="shared" si="4"/>
        <v>12</v>
      </c>
      <c r="J52" s="2" t="s">
        <v>31</v>
      </c>
      <c r="K52" s="2" t="s">
        <v>587</v>
      </c>
      <c r="AD52" s="33" t="str">
        <f t="shared" si="2"/>
        <v>Tuesday</v>
      </c>
    </row>
    <row r="53" spans="1:30" x14ac:dyDescent="0.2">
      <c r="A53" s="3">
        <v>39556</v>
      </c>
      <c r="B53" s="2" t="s">
        <v>36</v>
      </c>
      <c r="C53" t="s">
        <v>7</v>
      </c>
      <c r="D53" t="s">
        <v>207</v>
      </c>
      <c r="E53" s="2">
        <v>45684</v>
      </c>
      <c r="F53" s="2" cm="1">
        <f t="array" ref="F53">_xlfn.IFS(B53="Owner Surrender",E53,B53="Stray",E53+6,B53="Stray w/identification",E53+11,B53="Bite",E53+10,B53="Other",E53+30,B53="BAS",E53+56,B53="Seized",E53)</f>
        <v>45684</v>
      </c>
      <c r="G53" s="2">
        <v>45698</v>
      </c>
      <c r="H53" s="5">
        <f t="shared" si="5"/>
        <v>14</v>
      </c>
      <c r="I53" s="5">
        <f t="shared" si="4"/>
        <v>14</v>
      </c>
      <c r="J53" s="2" t="s">
        <v>31</v>
      </c>
      <c r="K53" s="2" t="s">
        <v>587</v>
      </c>
      <c r="L53" t="s">
        <v>216</v>
      </c>
      <c r="AD53" s="33" t="str">
        <f t="shared" si="2"/>
        <v>Monday</v>
      </c>
    </row>
    <row r="54" spans="1:30" x14ac:dyDescent="0.2">
      <c r="A54" s="3">
        <v>39559</v>
      </c>
      <c r="B54" s="2" t="s">
        <v>36</v>
      </c>
      <c r="C54" t="s">
        <v>15</v>
      </c>
      <c r="D54" t="s">
        <v>210</v>
      </c>
      <c r="E54" s="2">
        <v>45684</v>
      </c>
      <c r="F54" s="2" cm="1">
        <f t="array" ref="F54">_xlfn.IFS(B54="Owner Surrender",E54,B54="Stray",E54+6,B54="Stray w/identification",E54+11,B54="Bite",E54+10,B54="Other",E54+30,B54="BAS",E54+56,B54="Seized",E54)</f>
        <v>45684</v>
      </c>
      <c r="G54" s="2">
        <v>45686</v>
      </c>
      <c r="H54" s="5">
        <f t="shared" si="5"/>
        <v>2</v>
      </c>
      <c r="I54" s="5">
        <f t="shared" si="4"/>
        <v>2</v>
      </c>
      <c r="J54" s="2" t="s">
        <v>31</v>
      </c>
      <c r="K54" s="2" t="s">
        <v>587</v>
      </c>
      <c r="L54" t="s">
        <v>223</v>
      </c>
      <c r="AD54" s="33" t="str">
        <f t="shared" si="2"/>
        <v>Wednesday</v>
      </c>
    </row>
    <row r="55" spans="1:30" x14ac:dyDescent="0.2">
      <c r="A55" s="3">
        <v>39564</v>
      </c>
      <c r="B55" s="2" t="s">
        <v>36</v>
      </c>
      <c r="C55" t="s">
        <v>7</v>
      </c>
      <c r="D55" t="s">
        <v>207</v>
      </c>
      <c r="E55" s="2">
        <v>45685</v>
      </c>
      <c r="F55" s="2" cm="1">
        <f t="array" ref="F55">_xlfn.IFS(B55="Owner Surrender",E55,B55="Stray",E55+6,B55="Stray w/identification",E55+11,B55="Bite",E55+10,B55="Other",E55+30,B55="BAS",E55+56,B55="Seized",E55)</f>
        <v>45685</v>
      </c>
      <c r="G55" s="2">
        <v>45706</v>
      </c>
      <c r="H55" s="5">
        <f t="shared" si="5"/>
        <v>21</v>
      </c>
      <c r="I55" s="5">
        <f t="shared" si="4"/>
        <v>21</v>
      </c>
      <c r="J55" s="2" t="s">
        <v>18</v>
      </c>
      <c r="K55" s="2" t="s">
        <v>586</v>
      </c>
      <c r="L55" s="2" t="s">
        <v>231</v>
      </c>
      <c r="M55" s="2"/>
      <c r="AD55" s="33" t="str">
        <f t="shared" si="2"/>
        <v>Tuesday</v>
      </c>
    </row>
    <row r="56" spans="1:30" x14ac:dyDescent="0.2">
      <c r="A56" s="3">
        <v>39565</v>
      </c>
      <c r="B56" s="2" t="s">
        <v>36</v>
      </c>
      <c r="C56" t="s">
        <v>7</v>
      </c>
      <c r="D56" t="s">
        <v>207</v>
      </c>
      <c r="E56" s="2">
        <v>45685</v>
      </c>
      <c r="F56" s="2" cm="1">
        <f t="array" ref="F56">_xlfn.IFS(B56="Owner Surrender",E56,B56="Stray",E56+6,B56="Stray w/identification",E56+11,B56="Bite",E56+10,B56="Other",E56+30,B56="BAS",E56+56,B56="Seized",E56)</f>
        <v>45685</v>
      </c>
      <c r="G56" s="2">
        <v>45694</v>
      </c>
      <c r="H56" s="5">
        <f t="shared" si="5"/>
        <v>9</v>
      </c>
      <c r="I56" s="5">
        <f t="shared" si="4"/>
        <v>9</v>
      </c>
      <c r="J56" s="2" t="s">
        <v>31</v>
      </c>
      <c r="K56" s="2" t="s">
        <v>587</v>
      </c>
      <c r="AD56" s="33" t="str">
        <f t="shared" si="2"/>
        <v>Thursday</v>
      </c>
    </row>
    <row r="57" spans="1:30" x14ac:dyDescent="0.2">
      <c r="A57" s="3">
        <v>39566</v>
      </c>
      <c r="B57" s="2" t="s">
        <v>36</v>
      </c>
      <c r="C57" t="s">
        <v>7</v>
      </c>
      <c r="D57" t="s">
        <v>207</v>
      </c>
      <c r="E57" s="2">
        <v>45685</v>
      </c>
      <c r="F57" s="2" cm="1">
        <f t="array" ref="F57">_xlfn.IFS(B57="Owner Surrender",E57,B57="Stray",E57+6,B57="Stray w/identification",E57+11,B57="Bite",E57+10,B57="Other",E57+30,B57="BAS",E57+56,B57="Seized",E57)</f>
        <v>45685</v>
      </c>
      <c r="G57" s="2">
        <v>45692</v>
      </c>
      <c r="H57" s="5">
        <f t="shared" si="5"/>
        <v>7</v>
      </c>
      <c r="I57" s="5">
        <f t="shared" si="4"/>
        <v>7</v>
      </c>
      <c r="J57" s="2" t="s">
        <v>31</v>
      </c>
      <c r="K57" s="2" t="s">
        <v>587</v>
      </c>
      <c r="AD57" s="33" t="str">
        <f t="shared" si="2"/>
        <v>Tuesday</v>
      </c>
    </row>
    <row r="58" spans="1:30" x14ac:dyDescent="0.2">
      <c r="A58" s="3">
        <v>39575</v>
      </c>
      <c r="B58" s="2" t="s">
        <v>38</v>
      </c>
      <c r="C58" t="s">
        <v>15</v>
      </c>
      <c r="D58" t="s">
        <v>207</v>
      </c>
      <c r="E58" s="2">
        <v>45687</v>
      </c>
      <c r="F58" s="2" cm="1">
        <f t="array" ref="F58">_xlfn.IFS(B58="Owner Surrender",E58,B58="Stray",E58+6,B58="Stray w/identification",E58+11,B58="Bite",E58+10,B58="Other",E58+30,B58="BAS",E58+56,B58="Seized",E58)</f>
        <v>45693</v>
      </c>
      <c r="G58" s="2">
        <v>45694</v>
      </c>
      <c r="H58" s="5">
        <f t="shared" si="5"/>
        <v>7</v>
      </c>
      <c r="I58" s="5">
        <f t="shared" si="4"/>
        <v>1</v>
      </c>
      <c r="J58" s="2" t="s">
        <v>31</v>
      </c>
      <c r="K58" s="2" t="s">
        <v>588</v>
      </c>
      <c r="M58" t="s">
        <v>217</v>
      </c>
      <c r="AD58" s="33" t="str">
        <f t="shared" si="2"/>
        <v>Thursday</v>
      </c>
    </row>
    <row r="59" spans="1:30" x14ac:dyDescent="0.2">
      <c r="A59" s="3">
        <v>39577</v>
      </c>
      <c r="B59" s="2" t="s">
        <v>36</v>
      </c>
      <c r="C59" t="s">
        <v>7</v>
      </c>
      <c r="D59" t="s">
        <v>207</v>
      </c>
      <c r="E59" s="2">
        <v>45687</v>
      </c>
      <c r="F59" s="2" cm="1">
        <f t="array" ref="F59">_xlfn.IFS(B59="Owner Surrender",E59,B59="Stray",E59+6,B59="Stray w/identification",E59+11,B59="Bite",E59+10,B59="Other",E59+30,B59="BAS",E59+56,B59="Seized",E59)</f>
        <v>45687</v>
      </c>
      <c r="G59" s="2">
        <v>45702</v>
      </c>
      <c r="H59" s="5">
        <f t="shared" si="5"/>
        <v>15</v>
      </c>
      <c r="I59" s="5">
        <f t="shared" si="4"/>
        <v>15</v>
      </c>
      <c r="J59" s="2" t="s">
        <v>31</v>
      </c>
      <c r="K59" s="2" t="s">
        <v>587</v>
      </c>
      <c r="L59" s="2" t="s">
        <v>218</v>
      </c>
      <c r="M59" s="2"/>
      <c r="AD59" s="33" t="str">
        <f t="shared" si="2"/>
        <v>Friday</v>
      </c>
    </row>
    <row r="60" spans="1:30" x14ac:dyDescent="0.2">
      <c r="A60" s="3">
        <v>39584</v>
      </c>
      <c r="B60" s="2" t="s">
        <v>38</v>
      </c>
      <c r="C60" t="s">
        <v>10</v>
      </c>
      <c r="D60" t="s">
        <v>209</v>
      </c>
      <c r="E60" s="2">
        <v>45687</v>
      </c>
      <c r="F60" s="2" cm="1">
        <f t="array" ref="F60">_xlfn.IFS(B60="Owner Surrender",E60,B60="Stray",E60+6,B60="Stray w/identification",E60+11,B60="Bite",E60+10,B60="Other",E60+30,B60="BAS",E60+56,B60="Seized",E60)</f>
        <v>45693</v>
      </c>
      <c r="G60" s="2">
        <v>45702</v>
      </c>
      <c r="H60" s="5">
        <f t="shared" si="5"/>
        <v>15</v>
      </c>
      <c r="I60" s="5">
        <f t="shared" si="4"/>
        <v>9</v>
      </c>
      <c r="J60" s="2" t="s">
        <v>31</v>
      </c>
      <c r="K60" s="2" t="s">
        <v>587</v>
      </c>
      <c r="L60" t="s">
        <v>590</v>
      </c>
      <c r="AD60" s="33" t="str">
        <f t="shared" si="2"/>
        <v>Friday</v>
      </c>
    </row>
    <row r="61" spans="1:30" x14ac:dyDescent="0.2">
      <c r="A61" s="3">
        <v>39585</v>
      </c>
      <c r="B61" s="2" t="s">
        <v>38</v>
      </c>
      <c r="C61" t="s">
        <v>10</v>
      </c>
      <c r="D61" t="s">
        <v>209</v>
      </c>
      <c r="E61" s="2">
        <v>45687</v>
      </c>
      <c r="F61" s="2" cm="1">
        <f t="array" ref="F61">_xlfn.IFS(B61="Owner Surrender",E61,B61="Stray",E61+6,B61="Stray w/identification",E61+11,B61="Bite",E61+10,B61="Other",E61+30,B61="BAS",E61+56,B61="Seized",E61)</f>
        <v>45693</v>
      </c>
      <c r="G61" s="2">
        <v>45698</v>
      </c>
      <c r="H61" s="5">
        <f t="shared" si="5"/>
        <v>11</v>
      </c>
      <c r="I61" s="5">
        <f t="shared" si="4"/>
        <v>5</v>
      </c>
      <c r="J61" s="2" t="s">
        <v>31</v>
      </c>
      <c r="K61" s="2" t="s">
        <v>587</v>
      </c>
      <c r="AD61" s="33" t="str">
        <f t="shared" si="2"/>
        <v>Monday</v>
      </c>
    </row>
    <row r="62" spans="1:30" x14ac:dyDescent="0.2">
      <c r="A62" s="3">
        <v>39591</v>
      </c>
      <c r="B62" s="2" t="s">
        <v>36</v>
      </c>
      <c r="C62" t="s">
        <v>7</v>
      </c>
      <c r="D62" t="s">
        <v>207</v>
      </c>
      <c r="E62" s="2">
        <v>45689</v>
      </c>
      <c r="F62" s="2" cm="1">
        <f t="array" ref="F62">_xlfn.IFS(B62="Owner Surrender",E62,B62="Stray",E62+6,B62="Stray w/identification",E62+11,B62="Bite",E62+10,B62="Other",E62+30,B62="BAS",E62+56,B62="Seized",E62)</f>
        <v>45689</v>
      </c>
      <c r="G62" s="2">
        <v>45692</v>
      </c>
      <c r="H62" s="5">
        <f t="shared" si="5"/>
        <v>3</v>
      </c>
      <c r="I62" s="5">
        <f t="shared" si="4"/>
        <v>3</v>
      </c>
      <c r="J62" s="2" t="s">
        <v>31</v>
      </c>
      <c r="K62" s="2" t="s">
        <v>587</v>
      </c>
      <c r="M62" s="2"/>
      <c r="AD62" s="33" t="str">
        <f t="shared" si="2"/>
        <v>Tuesday</v>
      </c>
    </row>
    <row r="63" spans="1:30" x14ac:dyDescent="0.2">
      <c r="A63" s="3">
        <v>39592</v>
      </c>
      <c r="B63" s="2" t="s">
        <v>36</v>
      </c>
      <c r="C63" t="s">
        <v>7</v>
      </c>
      <c r="D63" t="s">
        <v>209</v>
      </c>
      <c r="E63" s="2">
        <v>45689</v>
      </c>
      <c r="F63" s="2" cm="1">
        <f t="array" ref="F63">_xlfn.IFS(B63="Owner Surrender",E63,B63="Stray",E63+6,B63="Stray w/identification",E63+11,B63="Bite",E63+10,B63="Other",E63+30,B63="BAS",E63+56,B63="Seized",E63)</f>
        <v>45689</v>
      </c>
      <c r="G63" s="2">
        <v>45692</v>
      </c>
      <c r="H63" s="5">
        <f t="shared" si="5"/>
        <v>3</v>
      </c>
      <c r="I63" s="5">
        <f t="shared" si="4"/>
        <v>3</v>
      </c>
      <c r="J63" s="2" t="s">
        <v>31</v>
      </c>
      <c r="K63" s="2" t="s">
        <v>587</v>
      </c>
      <c r="M63" s="2"/>
      <c r="AD63" s="33" t="str">
        <f t="shared" si="2"/>
        <v>Tuesday</v>
      </c>
    </row>
    <row r="64" spans="1:30" x14ac:dyDescent="0.2">
      <c r="A64" s="3">
        <v>39593</v>
      </c>
      <c r="B64" s="2" t="s">
        <v>36</v>
      </c>
      <c r="C64" t="s">
        <v>7</v>
      </c>
      <c r="D64" t="s">
        <v>207</v>
      </c>
      <c r="E64" s="2">
        <v>45689</v>
      </c>
      <c r="F64" s="2" cm="1">
        <f t="array" ref="F64">_xlfn.IFS(B64="Owner Surrender",E64,B64="Stray",E64+6,B64="Stray w/identification",E64+11,B64="Bite",E64+10,B64="Other",E64+30,B64="BAS",E64+56,B64="Seized",E64)</f>
        <v>45689</v>
      </c>
      <c r="G64" s="2">
        <v>45694</v>
      </c>
      <c r="H64" s="5">
        <f t="shared" si="5"/>
        <v>5</v>
      </c>
      <c r="I64" s="5">
        <f t="shared" si="4"/>
        <v>5</v>
      </c>
      <c r="J64" s="2" t="s">
        <v>31</v>
      </c>
      <c r="K64" s="2" t="s">
        <v>587</v>
      </c>
      <c r="AD64" s="33" t="str">
        <f t="shared" si="2"/>
        <v>Thursday</v>
      </c>
    </row>
    <row r="65" spans="1:30" x14ac:dyDescent="0.2">
      <c r="A65" s="3">
        <v>39594</v>
      </c>
      <c r="B65" s="2" t="s">
        <v>36</v>
      </c>
      <c r="C65" t="s">
        <v>7</v>
      </c>
      <c r="D65" t="s">
        <v>209</v>
      </c>
      <c r="E65" s="2">
        <v>45689</v>
      </c>
      <c r="F65" s="2" cm="1">
        <f t="array" ref="F65">_xlfn.IFS(B65="Owner Surrender",E65,B65="Stray",E65+6,B65="Stray w/identification",E65+11,B65="Bite",E65+10,B65="Other",E65+30,B65="BAS",E65+56,B65="Seized",E65)</f>
        <v>45689</v>
      </c>
      <c r="G65" s="2">
        <v>45695</v>
      </c>
      <c r="H65" s="5">
        <f t="shared" si="5"/>
        <v>6</v>
      </c>
      <c r="I65" s="5">
        <f t="shared" si="4"/>
        <v>6</v>
      </c>
      <c r="J65" s="2" t="s">
        <v>11</v>
      </c>
      <c r="K65" s="2" t="s">
        <v>586</v>
      </c>
      <c r="AD65" s="33" t="str">
        <f t="shared" si="2"/>
        <v>Friday</v>
      </c>
    </row>
    <row r="66" spans="1:30" x14ac:dyDescent="0.2">
      <c r="A66" s="3">
        <v>39595</v>
      </c>
      <c r="B66" s="2" t="s">
        <v>38</v>
      </c>
      <c r="C66" t="s">
        <v>7</v>
      </c>
      <c r="D66" t="s">
        <v>207</v>
      </c>
      <c r="E66" s="2">
        <v>45689</v>
      </c>
      <c r="F66" s="2" cm="1">
        <f t="array" ref="F66">_xlfn.IFS(B66="Owner Surrender",E66,B66="Stray",E66+6,B66="Stray w/identification",E66+11,B66="Bite",E66+10,B66="Other",E66+30,B66="BAS",E66+56,B66="Seized",E66)</f>
        <v>45695</v>
      </c>
      <c r="G66" s="2">
        <v>45716</v>
      </c>
      <c r="H66" s="5">
        <f t="shared" si="5"/>
        <v>27</v>
      </c>
      <c r="I66" s="5">
        <f t="shared" si="4"/>
        <v>21</v>
      </c>
      <c r="J66" s="2" t="s">
        <v>11</v>
      </c>
      <c r="K66" s="2" t="s">
        <v>586</v>
      </c>
      <c r="L66" t="s">
        <v>283</v>
      </c>
      <c r="AD66" s="33" t="str">
        <f t="shared" si="2"/>
        <v>Friday</v>
      </c>
    </row>
    <row r="67" spans="1:30" x14ac:dyDescent="0.2">
      <c r="A67" s="3">
        <v>39597</v>
      </c>
      <c r="B67" s="2" t="s">
        <v>179</v>
      </c>
      <c r="C67" t="s">
        <v>7</v>
      </c>
      <c r="D67" t="s">
        <v>208</v>
      </c>
      <c r="E67" s="2">
        <v>45690</v>
      </c>
      <c r="F67" s="2" cm="1">
        <f t="array" ref="F67">_xlfn.IFS(B67="Owner Surrender",E67,B67="Stray",E67+6,B67="Stray w/identification",E67+11,B67="Bite",E67+10,B67="Other",E67+30,B67="BAS",E67+56,B67="Seized",E67)</f>
        <v>45701</v>
      </c>
      <c r="G67" s="2">
        <v>45706</v>
      </c>
      <c r="H67" s="5">
        <f t="shared" si="5"/>
        <v>16</v>
      </c>
      <c r="I67" s="5">
        <f t="shared" si="4"/>
        <v>5</v>
      </c>
      <c r="J67" s="2" t="s">
        <v>18</v>
      </c>
      <c r="K67" s="2" t="s">
        <v>586</v>
      </c>
      <c r="L67" t="s">
        <v>284</v>
      </c>
      <c r="AD67" s="33" t="str">
        <f t="shared" si="2"/>
        <v>Tuesday</v>
      </c>
    </row>
    <row r="68" spans="1:30" x14ac:dyDescent="0.2">
      <c r="A68" s="3">
        <v>39602</v>
      </c>
      <c r="B68" s="2" t="s">
        <v>38</v>
      </c>
      <c r="C68" t="s">
        <v>10</v>
      </c>
      <c r="D68" t="s">
        <v>208</v>
      </c>
      <c r="E68" s="2">
        <v>45691</v>
      </c>
      <c r="F68" s="2" cm="1">
        <f t="array" ref="F68">_xlfn.IFS(B68="Owner Surrender",E68,B68="Stray",E68+6,B68="Stray w/identification",E68+11,B68="Bite",E68+10,B68="Other",E68+30,B68="BAS",E68+56,B68="Seized",E68)</f>
        <v>45697</v>
      </c>
      <c r="G68" s="2">
        <v>45702</v>
      </c>
      <c r="H68" s="5">
        <f t="shared" si="5"/>
        <v>11</v>
      </c>
      <c r="I68" s="5">
        <f t="shared" si="4"/>
        <v>5</v>
      </c>
      <c r="J68" s="2" t="s">
        <v>31</v>
      </c>
      <c r="K68" s="2" t="s">
        <v>587</v>
      </c>
      <c r="L68" t="s">
        <v>285</v>
      </c>
      <c r="AD68" s="33" t="str">
        <f t="shared" ref="AD68:AD131" si="6">TEXT(G68,"DDDD")</f>
        <v>Friday</v>
      </c>
    </row>
    <row r="69" spans="1:30" x14ac:dyDescent="0.2">
      <c r="A69" s="3">
        <v>39607</v>
      </c>
      <c r="B69" s="2" t="s">
        <v>36</v>
      </c>
      <c r="C69" t="s">
        <v>7</v>
      </c>
      <c r="D69" t="s">
        <v>207</v>
      </c>
      <c r="E69" s="2">
        <v>45692</v>
      </c>
      <c r="F69" s="2" cm="1">
        <f t="array" ref="F69">_xlfn.IFS(B69="Owner Surrender",E69,B69="Stray",E69+6,B69="Stray w/identification",E69+11,B69="Bite",E69+10,B69="Other",E69+30,B69="BAS",E69+56,B69="Seized",E69)</f>
        <v>45692</v>
      </c>
      <c r="G69" s="2">
        <v>45702</v>
      </c>
      <c r="H69" s="5">
        <f t="shared" si="5"/>
        <v>10</v>
      </c>
      <c r="I69" s="5">
        <f t="shared" si="4"/>
        <v>10</v>
      </c>
      <c r="J69" s="2" t="s">
        <v>31</v>
      </c>
      <c r="K69" s="2" t="s">
        <v>587</v>
      </c>
      <c r="L69" s="2"/>
      <c r="AD69" s="33" t="str">
        <f t="shared" si="6"/>
        <v>Friday</v>
      </c>
    </row>
    <row r="70" spans="1:30" x14ac:dyDescent="0.2">
      <c r="A70" s="3">
        <v>39608</v>
      </c>
      <c r="B70" s="2" t="s">
        <v>38</v>
      </c>
      <c r="C70" t="s">
        <v>7</v>
      </c>
      <c r="D70" t="s">
        <v>207</v>
      </c>
      <c r="E70" s="2">
        <v>45692</v>
      </c>
      <c r="F70" s="2" cm="1">
        <f t="array" ref="F70">_xlfn.IFS(B70="Owner Surrender",E70,B70="Stray",E70+6,B70="Stray w/identification",E70+11,B70="Bite",E70+10,B70="Other",E70+30,B70="BAS",E70+56,B70="Seized",E70)</f>
        <v>45698</v>
      </c>
      <c r="G70" s="2">
        <v>45702</v>
      </c>
      <c r="H70" s="5">
        <f t="shared" si="5"/>
        <v>10</v>
      </c>
      <c r="I70" s="5">
        <f t="shared" si="4"/>
        <v>4</v>
      </c>
      <c r="J70" s="2" t="s">
        <v>31</v>
      </c>
      <c r="K70" s="2" t="s">
        <v>587</v>
      </c>
      <c r="L70" s="2" t="s">
        <v>286</v>
      </c>
      <c r="AD70" s="33" t="str">
        <f t="shared" si="6"/>
        <v>Friday</v>
      </c>
    </row>
    <row r="71" spans="1:30" x14ac:dyDescent="0.2">
      <c r="A71" s="3">
        <v>39610</v>
      </c>
      <c r="B71" s="2" t="s">
        <v>36</v>
      </c>
      <c r="C71" t="s">
        <v>7</v>
      </c>
      <c r="D71" t="s">
        <v>208</v>
      </c>
      <c r="E71" s="2">
        <v>45693</v>
      </c>
      <c r="F71" s="2" cm="1">
        <f t="array" ref="F71">_xlfn.IFS(B71="Owner Surrender",E71,B71="Stray",E71+6,B71="Stray w/identification",E71+11,B71="Bite",E71+10,B71="Other",E71+30,B71="BAS",E71+56,B71="Seized",E71)</f>
        <v>45693</v>
      </c>
      <c r="G71" s="2">
        <v>45701</v>
      </c>
      <c r="H71" s="5">
        <f t="shared" si="5"/>
        <v>8</v>
      </c>
      <c r="I71" s="5">
        <f t="shared" si="4"/>
        <v>8</v>
      </c>
      <c r="J71" s="2" t="s">
        <v>11</v>
      </c>
      <c r="K71" s="2" t="s">
        <v>586</v>
      </c>
      <c r="AD71" s="33" t="str">
        <f t="shared" si="6"/>
        <v>Thursday</v>
      </c>
    </row>
    <row r="72" spans="1:30" x14ac:dyDescent="0.2">
      <c r="A72" s="3">
        <v>39611</v>
      </c>
      <c r="B72" s="2" t="s">
        <v>36</v>
      </c>
      <c r="C72" t="s">
        <v>7</v>
      </c>
      <c r="D72" t="s">
        <v>208</v>
      </c>
      <c r="E72" s="2">
        <v>45693</v>
      </c>
      <c r="F72" s="2" cm="1">
        <f t="array" ref="F72">_xlfn.IFS(B72="Owner Surrender",E72,B72="Stray",E72+6,B72="Stray w/identification",E72+11,B72="Bite",E72+10,B72="Other",E72+30,B72="BAS",E72+56,B72="Seized",E72)</f>
        <v>45693</v>
      </c>
      <c r="G72" s="2">
        <v>45740</v>
      </c>
      <c r="H72" s="5">
        <f t="shared" si="5"/>
        <v>47</v>
      </c>
      <c r="I72" s="5">
        <f t="shared" si="4"/>
        <v>47</v>
      </c>
      <c r="J72" s="2" t="s">
        <v>11</v>
      </c>
      <c r="K72" s="2" t="s">
        <v>586</v>
      </c>
      <c r="L72" s="2"/>
      <c r="AD72" s="33" t="str">
        <f t="shared" si="6"/>
        <v>Monday</v>
      </c>
    </row>
    <row r="73" spans="1:30" x14ac:dyDescent="0.2">
      <c r="A73" s="3">
        <v>39613</v>
      </c>
      <c r="B73" s="2" t="s">
        <v>36</v>
      </c>
      <c r="C73" t="s">
        <v>7</v>
      </c>
      <c r="D73" t="s">
        <v>208</v>
      </c>
      <c r="E73" s="2">
        <v>45693</v>
      </c>
      <c r="F73" s="2" cm="1">
        <f t="array" ref="F73">_xlfn.IFS(B73="Owner Surrender",E73,B73="Stray",E73+6,B73="Stray w/identification",E73+11,B73="Bite",E73+10,B73="Other",E73+30,B73="BAS",E73+56,B73="Seized",E73)</f>
        <v>45693</v>
      </c>
      <c r="G73" s="2">
        <v>45736</v>
      </c>
      <c r="H73" s="5">
        <f t="shared" si="5"/>
        <v>43</v>
      </c>
      <c r="I73" s="5">
        <f t="shared" si="4"/>
        <v>43</v>
      </c>
      <c r="J73" s="2" t="s">
        <v>11</v>
      </c>
      <c r="K73" s="2" t="s">
        <v>586</v>
      </c>
      <c r="AD73" s="33" t="str">
        <f t="shared" si="6"/>
        <v>Thursday</v>
      </c>
    </row>
    <row r="74" spans="1:30" x14ac:dyDescent="0.2">
      <c r="A74" s="3">
        <v>39614</v>
      </c>
      <c r="B74" s="2" t="s">
        <v>36</v>
      </c>
      <c r="C74" t="s">
        <v>7</v>
      </c>
      <c r="D74" t="s">
        <v>207</v>
      </c>
      <c r="E74" s="2">
        <v>45694</v>
      </c>
      <c r="F74" s="2" cm="1">
        <f t="array" ref="F74">_xlfn.IFS(B74="Owner Surrender",E74,B74="Stray",E74+6,B74="Stray w/identification",E74+11,B74="Bite",E74+10,B74="Other",E74+30,B74="BAS",E74+56,B74="Seized",E74)</f>
        <v>45694</v>
      </c>
      <c r="G74" s="2">
        <v>45695</v>
      </c>
      <c r="H74" s="5">
        <f t="shared" si="5"/>
        <v>1</v>
      </c>
      <c r="I74" s="5">
        <f t="shared" si="4"/>
        <v>1</v>
      </c>
      <c r="J74" s="2" t="s">
        <v>31</v>
      </c>
      <c r="K74" s="2" t="s">
        <v>587</v>
      </c>
      <c r="L74" s="2"/>
      <c r="AD74" s="33" t="str">
        <f t="shared" si="6"/>
        <v>Friday</v>
      </c>
    </row>
    <row r="75" spans="1:30" x14ac:dyDescent="0.2">
      <c r="A75" s="3">
        <v>39615</v>
      </c>
      <c r="B75" s="2" t="s">
        <v>36</v>
      </c>
      <c r="C75" t="s">
        <v>7</v>
      </c>
      <c r="D75" t="s">
        <v>207</v>
      </c>
      <c r="E75" s="2">
        <v>45694</v>
      </c>
      <c r="F75" s="2" cm="1">
        <f t="array" ref="F75">_xlfn.IFS(B75="Owner Surrender",E75,B75="Stray",E75+6,B75="Stray w/identification",E75+11,B75="Bite",E75+10,B75="Other",E75+30,B75="BAS",E75+56,B75="Seized",E75)</f>
        <v>45694</v>
      </c>
      <c r="G75" s="2">
        <v>45695</v>
      </c>
      <c r="H75" s="5">
        <f t="shared" si="5"/>
        <v>1</v>
      </c>
      <c r="I75" s="5">
        <f t="shared" si="4"/>
        <v>1</v>
      </c>
      <c r="J75" s="2" t="s">
        <v>31</v>
      </c>
      <c r="K75" s="2" t="s">
        <v>587</v>
      </c>
      <c r="L75" s="2"/>
      <c r="M75" s="2"/>
      <c r="AD75" s="33" t="str">
        <f t="shared" si="6"/>
        <v>Friday</v>
      </c>
    </row>
    <row r="76" spans="1:30" x14ac:dyDescent="0.2">
      <c r="A76" s="3">
        <v>39616</v>
      </c>
      <c r="B76" s="2" t="s">
        <v>36</v>
      </c>
      <c r="C76" t="s">
        <v>15</v>
      </c>
      <c r="D76" t="s">
        <v>207</v>
      </c>
      <c r="E76" s="2">
        <v>45694</v>
      </c>
      <c r="F76" s="2" cm="1">
        <f t="array" ref="F76">_xlfn.IFS(B76="Owner Surrender",E76,B76="Stray",E76+6,B76="Stray w/identification",E76+11,B76="Bite",E76+10,B76="Other",E76+30,B76="BAS",E76+56,B76="Seized",E76)</f>
        <v>45694</v>
      </c>
      <c r="G76" s="2">
        <v>45695</v>
      </c>
      <c r="H76" s="5">
        <f t="shared" si="5"/>
        <v>1</v>
      </c>
      <c r="I76" s="5">
        <f t="shared" si="4"/>
        <v>1</v>
      </c>
      <c r="J76" s="2" t="s">
        <v>31</v>
      </c>
      <c r="K76" s="2" t="s">
        <v>587</v>
      </c>
      <c r="AD76" s="33" t="str">
        <f t="shared" si="6"/>
        <v>Friday</v>
      </c>
    </row>
    <row r="77" spans="1:30" x14ac:dyDescent="0.2">
      <c r="A77" s="3">
        <v>39617</v>
      </c>
      <c r="B77" s="2" t="s">
        <v>36</v>
      </c>
      <c r="C77" t="s">
        <v>7</v>
      </c>
      <c r="D77" t="s">
        <v>207</v>
      </c>
      <c r="E77" s="2">
        <v>45694</v>
      </c>
      <c r="F77" s="2" cm="1">
        <f t="array" ref="F77">_xlfn.IFS(B77="Owner Surrender",E77,B77="Stray",E77+6,B77="Stray w/identification",E77+11,B77="Bite",E77+10,B77="Other",E77+30,B77="BAS",E77+56,B77="Seized",E77)</f>
        <v>45694</v>
      </c>
      <c r="G77" s="2">
        <v>45695</v>
      </c>
      <c r="H77" s="5">
        <f t="shared" si="5"/>
        <v>1</v>
      </c>
      <c r="I77" s="5">
        <f t="shared" si="4"/>
        <v>1</v>
      </c>
      <c r="J77" s="2" t="s">
        <v>31</v>
      </c>
      <c r="K77" s="2" t="s">
        <v>587</v>
      </c>
      <c r="L77" s="2"/>
      <c r="M77" s="2"/>
      <c r="AD77" s="33" t="str">
        <f t="shared" si="6"/>
        <v>Friday</v>
      </c>
    </row>
    <row r="78" spans="1:30" x14ac:dyDescent="0.2">
      <c r="A78" s="3">
        <v>39618</v>
      </c>
      <c r="B78" s="2" t="s">
        <v>38</v>
      </c>
      <c r="C78" t="s">
        <v>7</v>
      </c>
      <c r="D78" t="s">
        <v>208</v>
      </c>
      <c r="E78" s="2">
        <v>45694</v>
      </c>
      <c r="F78" s="2" cm="1">
        <f t="array" ref="F78">_xlfn.IFS(B78="Owner Surrender",E78,B78="Stray",E78+6,B78="Stray w/identification",E78+11,B78="Bite",E78+10,B78="Other",E78+30,B78="BAS",E78+56,B78="Seized",E78)</f>
        <v>45700</v>
      </c>
      <c r="G78" s="2">
        <v>45706</v>
      </c>
      <c r="H78" s="5">
        <f t="shared" si="5"/>
        <v>12</v>
      </c>
      <c r="I78" s="5">
        <f t="shared" si="4"/>
        <v>6</v>
      </c>
      <c r="J78" s="2" t="s">
        <v>18</v>
      </c>
      <c r="K78" s="2" t="s">
        <v>586</v>
      </c>
      <c r="AD78" s="33" t="str">
        <f t="shared" si="6"/>
        <v>Tuesday</v>
      </c>
    </row>
    <row r="79" spans="1:30" x14ac:dyDescent="0.2">
      <c r="A79" s="3">
        <v>39620</v>
      </c>
      <c r="B79" s="2" t="s">
        <v>38</v>
      </c>
      <c r="C79" t="s">
        <v>7</v>
      </c>
      <c r="D79" t="s">
        <v>208</v>
      </c>
      <c r="E79" s="2">
        <v>45694</v>
      </c>
      <c r="F79" s="2" cm="1">
        <f t="array" ref="F79">_xlfn.IFS(B79="Owner Surrender",E79,B79="Stray",E79+6,B79="Stray w/identification",E79+11,B79="Bite",E79+10,B79="Other",E79+30,B79="BAS",E79+56,B79="Seized",E79)</f>
        <v>45700</v>
      </c>
      <c r="G79" s="2">
        <v>45706</v>
      </c>
      <c r="H79" s="5">
        <f t="shared" si="5"/>
        <v>12</v>
      </c>
      <c r="I79" s="5">
        <f t="shared" si="4"/>
        <v>6</v>
      </c>
      <c r="J79" s="2" t="s">
        <v>18</v>
      </c>
      <c r="K79" s="2" t="s">
        <v>586</v>
      </c>
      <c r="AD79" s="33" t="str">
        <f t="shared" si="6"/>
        <v>Tuesday</v>
      </c>
    </row>
    <row r="80" spans="1:30" x14ac:dyDescent="0.2">
      <c r="A80" s="3">
        <v>39622</v>
      </c>
      <c r="B80" s="2" t="s">
        <v>38</v>
      </c>
      <c r="C80" t="s">
        <v>7</v>
      </c>
      <c r="D80" t="s">
        <v>208</v>
      </c>
      <c r="E80" s="2">
        <v>45694</v>
      </c>
      <c r="F80" s="2" cm="1">
        <f t="array" ref="F80">_xlfn.IFS(B80="Owner Surrender",E80,B80="Stray",E80+6,B80="Stray w/identification",E80+11,B80="Bite",E80+10,B80="Other",E80+30,B80="BAS",E80+56,B80="Seized",E80)</f>
        <v>45700</v>
      </c>
      <c r="G80" s="2">
        <v>45698</v>
      </c>
      <c r="H80" s="5">
        <f t="shared" si="5"/>
        <v>4</v>
      </c>
      <c r="I80" s="5">
        <f t="shared" si="4"/>
        <v>-2</v>
      </c>
      <c r="J80" s="2" t="s">
        <v>8</v>
      </c>
      <c r="K80" s="2" t="s">
        <v>586</v>
      </c>
      <c r="AD80" s="33" t="str">
        <f t="shared" si="6"/>
        <v>Monday</v>
      </c>
    </row>
    <row r="81" spans="1:30" x14ac:dyDescent="0.2">
      <c r="A81" s="3">
        <v>39623</v>
      </c>
      <c r="B81" s="2" t="s">
        <v>38</v>
      </c>
      <c r="C81" t="s">
        <v>7</v>
      </c>
      <c r="D81" t="s">
        <v>208</v>
      </c>
      <c r="E81" s="2">
        <v>45694</v>
      </c>
      <c r="F81" s="2" cm="1">
        <f t="array" ref="F81">_xlfn.IFS(B81="Owner Surrender",E81,B81="Stray",E81+6,B81="Stray w/identification",E81+11,B81="Bite",E81+10,B81="Other",E81+30,B81="BAS",E81+56,B81="Seized",E81)</f>
        <v>45700</v>
      </c>
      <c r="G81" s="2">
        <v>45714</v>
      </c>
      <c r="H81" s="5">
        <f t="shared" si="5"/>
        <v>20</v>
      </c>
      <c r="I81" s="5">
        <f t="shared" si="4"/>
        <v>14</v>
      </c>
      <c r="J81" s="2" t="s">
        <v>31</v>
      </c>
      <c r="K81" s="2" t="s">
        <v>587</v>
      </c>
      <c r="L81" t="s">
        <v>300</v>
      </c>
      <c r="AD81" s="33" t="str">
        <f t="shared" si="6"/>
        <v>Wednesday</v>
      </c>
    </row>
    <row r="82" spans="1:30" x14ac:dyDescent="0.2">
      <c r="A82" s="3">
        <v>39625</v>
      </c>
      <c r="B82" s="2" t="s">
        <v>36</v>
      </c>
      <c r="C82" t="s">
        <v>7</v>
      </c>
      <c r="D82" t="s">
        <v>207</v>
      </c>
      <c r="E82" s="2">
        <v>45695</v>
      </c>
      <c r="F82" s="2" cm="1">
        <f t="array" ref="F82">_xlfn.IFS(B82="Owner Surrender",E82,B82="Stray",E82+6,B82="Stray w/identification",E82+11,B82="Bite",E82+10,B82="Other",E82+30,B82="BAS",E82+56,B82="Seized",E82)</f>
        <v>45695</v>
      </c>
      <c r="G82" s="2">
        <v>45698</v>
      </c>
      <c r="H82" s="5">
        <f t="shared" si="5"/>
        <v>3</v>
      </c>
      <c r="I82" s="5">
        <f t="shared" si="4"/>
        <v>3</v>
      </c>
      <c r="J82" s="2" t="s">
        <v>31</v>
      </c>
      <c r="K82" s="2" t="s">
        <v>587</v>
      </c>
      <c r="AD82" s="33" t="str">
        <f t="shared" si="6"/>
        <v>Monday</v>
      </c>
    </row>
    <row r="83" spans="1:30" x14ac:dyDescent="0.2">
      <c r="A83" s="3">
        <v>39627</v>
      </c>
      <c r="B83" s="2" t="s">
        <v>36</v>
      </c>
      <c r="C83" t="s">
        <v>7</v>
      </c>
      <c r="D83" t="s">
        <v>207</v>
      </c>
      <c r="E83" s="2">
        <v>45695</v>
      </c>
      <c r="F83" s="2" cm="1">
        <f t="array" ref="F83">_xlfn.IFS(B83="Owner Surrender",E83,B83="Stray",E83+6,B83="Stray w/identification",E83+11,B83="Bite",E83+10,B83="Other",E83+30,B83="BAS",E83+56,B83="Seized",E83)</f>
        <v>45695</v>
      </c>
      <c r="G83" s="2">
        <v>45698</v>
      </c>
      <c r="H83" s="5">
        <f t="shared" si="5"/>
        <v>3</v>
      </c>
      <c r="I83" s="5">
        <f t="shared" si="4"/>
        <v>3</v>
      </c>
      <c r="J83" s="2" t="s">
        <v>31</v>
      </c>
      <c r="K83" s="2" t="s">
        <v>587</v>
      </c>
      <c r="AD83" s="33" t="str">
        <f t="shared" si="6"/>
        <v>Monday</v>
      </c>
    </row>
    <row r="84" spans="1:30" x14ac:dyDescent="0.2">
      <c r="A84" s="3">
        <v>39628</v>
      </c>
      <c r="B84" s="2" t="s">
        <v>36</v>
      </c>
      <c r="C84" t="s">
        <v>7</v>
      </c>
      <c r="D84" t="s">
        <v>207</v>
      </c>
      <c r="E84" s="2">
        <v>45695</v>
      </c>
      <c r="F84" s="2" cm="1">
        <f t="array" ref="F84">_xlfn.IFS(B84="Owner Surrender",E84,B84="Stray",E84+6,B84="Stray w/identification",E84+11,B84="Bite",E84+10,B84="Other",E84+30,B84="BAS",E84+56,B84="Seized",E84)</f>
        <v>45695</v>
      </c>
      <c r="G84" s="2">
        <v>45698</v>
      </c>
      <c r="H84" s="5">
        <f t="shared" si="5"/>
        <v>3</v>
      </c>
      <c r="I84" s="5">
        <f t="shared" si="4"/>
        <v>3</v>
      </c>
      <c r="J84" s="2" t="s">
        <v>31</v>
      </c>
      <c r="K84" s="2" t="s">
        <v>587</v>
      </c>
      <c r="M84" s="2"/>
      <c r="AD84" s="33" t="str">
        <f t="shared" si="6"/>
        <v>Monday</v>
      </c>
    </row>
    <row r="85" spans="1:30" x14ac:dyDescent="0.2">
      <c r="A85" s="3">
        <v>39631</v>
      </c>
      <c r="B85" s="2" t="s">
        <v>38</v>
      </c>
      <c r="C85" t="s">
        <v>7</v>
      </c>
      <c r="D85" t="s">
        <v>207</v>
      </c>
      <c r="E85" s="2">
        <v>45696</v>
      </c>
      <c r="F85" s="2" cm="1">
        <f t="array" ref="F85">_xlfn.IFS(B85="Owner Surrender",E85,B85="Stray",E85+6,B85="Stray w/identification",E85+11,B85="Bite",E85+10,B85="Other",E85+30,B85="BAS",E85+56,B85="Seized",E85)</f>
        <v>45702</v>
      </c>
      <c r="G85" s="2">
        <v>45714</v>
      </c>
      <c r="H85" s="5">
        <f t="shared" si="5"/>
        <v>18</v>
      </c>
      <c r="I85" s="5">
        <f t="shared" si="4"/>
        <v>12</v>
      </c>
      <c r="J85" s="2" t="s">
        <v>31</v>
      </c>
      <c r="K85" s="2" t="s">
        <v>587</v>
      </c>
      <c r="L85" t="s">
        <v>591</v>
      </c>
      <c r="AD85" s="33" t="str">
        <f t="shared" si="6"/>
        <v>Wednesday</v>
      </c>
    </row>
    <row r="86" spans="1:30" x14ac:dyDescent="0.2">
      <c r="A86" s="3">
        <v>39632</v>
      </c>
      <c r="B86" s="2" t="s">
        <v>38</v>
      </c>
      <c r="C86" t="s">
        <v>7</v>
      </c>
      <c r="D86" t="s">
        <v>207</v>
      </c>
      <c r="E86" s="2">
        <v>45696</v>
      </c>
      <c r="F86" s="2" cm="1">
        <f t="array" ref="F86">_xlfn.IFS(B86="Owner Surrender",E86,B86="Stray",E86+6,B86="Stray w/identification",E86+11,B86="Bite",E86+10,B86="Other",E86+30,B86="BAS",E86+56,B86="Seized",E86)</f>
        <v>45702</v>
      </c>
      <c r="G86" s="2">
        <v>45706</v>
      </c>
      <c r="H86" s="5">
        <f t="shared" si="5"/>
        <v>10</v>
      </c>
      <c r="I86" s="5">
        <f t="shared" si="4"/>
        <v>4</v>
      </c>
      <c r="J86" s="2" t="s">
        <v>18</v>
      </c>
      <c r="K86" s="2" t="s">
        <v>586</v>
      </c>
      <c r="AD86" s="33" t="str">
        <f t="shared" si="6"/>
        <v>Tuesday</v>
      </c>
    </row>
    <row r="87" spans="1:30" x14ac:dyDescent="0.2">
      <c r="A87" s="3">
        <v>39633</v>
      </c>
      <c r="B87" s="2" t="s">
        <v>36</v>
      </c>
      <c r="C87" t="s">
        <v>7</v>
      </c>
      <c r="D87" t="s">
        <v>207</v>
      </c>
      <c r="E87" s="2">
        <v>45696</v>
      </c>
      <c r="F87" s="2" cm="1">
        <f t="array" ref="F87">_xlfn.IFS(B87="Owner Surrender",E87,B87="Stray",E87+6,B87="Stray w/identification",E87+11,B87="Bite",E87+10,B87="Other",E87+30,B87="BAS",E87+56,B87="Seized",E87)</f>
        <v>45696</v>
      </c>
      <c r="G87" s="2">
        <v>45698</v>
      </c>
      <c r="H87" s="5">
        <f t="shared" si="5"/>
        <v>2</v>
      </c>
      <c r="I87" s="5">
        <f t="shared" si="4"/>
        <v>2</v>
      </c>
      <c r="J87" s="2" t="s">
        <v>31</v>
      </c>
      <c r="K87" s="2" t="s">
        <v>587</v>
      </c>
      <c r="L87" t="s">
        <v>299</v>
      </c>
      <c r="AD87" s="33" t="str">
        <f t="shared" si="6"/>
        <v>Monday</v>
      </c>
    </row>
    <row r="88" spans="1:30" x14ac:dyDescent="0.2">
      <c r="A88" s="3">
        <v>39634</v>
      </c>
      <c r="B88" s="2" t="s">
        <v>36</v>
      </c>
      <c r="C88" t="s">
        <v>7</v>
      </c>
      <c r="D88" t="s">
        <v>208</v>
      </c>
      <c r="E88" s="2">
        <v>45696</v>
      </c>
      <c r="F88" s="2" cm="1">
        <f t="array" ref="F88">_xlfn.IFS(B88="Owner Surrender",E88,B88="Stray",E88+6,B88="Stray w/identification",E88+11,B88="Bite",E88+10,B88="Other",E88+30,B88="BAS",E88+56,B88="Seized",E88)</f>
        <v>45696</v>
      </c>
      <c r="G88" s="2">
        <v>45698</v>
      </c>
      <c r="H88" s="5">
        <f t="shared" si="5"/>
        <v>2</v>
      </c>
      <c r="I88" s="5">
        <f t="shared" si="4"/>
        <v>2</v>
      </c>
      <c r="J88" s="2" t="s">
        <v>31</v>
      </c>
      <c r="K88" s="2" t="s">
        <v>587</v>
      </c>
      <c r="AD88" s="33" t="str">
        <f t="shared" si="6"/>
        <v>Monday</v>
      </c>
    </row>
    <row r="89" spans="1:30" x14ac:dyDescent="0.2">
      <c r="A89" s="3">
        <v>39635</v>
      </c>
      <c r="B89" s="2" t="s">
        <v>36</v>
      </c>
      <c r="C89" t="s">
        <v>7</v>
      </c>
      <c r="D89" t="s">
        <v>208</v>
      </c>
      <c r="E89" s="2">
        <v>45696</v>
      </c>
      <c r="F89" s="2" cm="1">
        <f t="array" ref="F89">_xlfn.IFS(B89="Owner Surrender",E89,B89="Stray",E89+6,B89="Stray w/identification",E89+11,B89="Bite",E89+10,B89="Other",E89+30,B89="BAS",E89+56,B89="Seized",E89)</f>
        <v>45696</v>
      </c>
      <c r="G89" s="2">
        <v>45698</v>
      </c>
      <c r="H89" s="5">
        <f t="shared" si="5"/>
        <v>2</v>
      </c>
      <c r="I89" s="5">
        <f t="shared" si="4"/>
        <v>2</v>
      </c>
      <c r="J89" s="2" t="s">
        <v>31</v>
      </c>
      <c r="K89" s="2" t="s">
        <v>587</v>
      </c>
      <c r="AD89" s="33" t="str">
        <f t="shared" si="6"/>
        <v>Monday</v>
      </c>
    </row>
    <row r="90" spans="1:30" x14ac:dyDescent="0.2">
      <c r="A90" s="3">
        <v>39636</v>
      </c>
      <c r="B90" s="2" t="s">
        <v>36</v>
      </c>
      <c r="C90" t="s">
        <v>7</v>
      </c>
      <c r="D90" t="s">
        <v>208</v>
      </c>
      <c r="E90" s="2">
        <v>45696</v>
      </c>
      <c r="F90" s="2" cm="1">
        <f t="array" ref="F90">_xlfn.IFS(B90="Owner Surrender",E90,B90="Stray",E90+6,B90="Stray w/identification",E90+11,B90="Bite",E90+10,B90="Other",E90+30,B90="BAS",E90+56,B90="Seized",E90)</f>
        <v>45696</v>
      </c>
      <c r="G90" s="2">
        <v>45698</v>
      </c>
      <c r="H90" s="5">
        <f t="shared" si="5"/>
        <v>2</v>
      </c>
      <c r="I90" s="5">
        <f t="shared" ref="I90:I153" si="7">G90-F90</f>
        <v>2</v>
      </c>
      <c r="J90" s="2" t="s">
        <v>31</v>
      </c>
      <c r="K90" s="2" t="s">
        <v>587</v>
      </c>
      <c r="AD90" s="33" t="str">
        <f t="shared" si="6"/>
        <v>Monday</v>
      </c>
    </row>
    <row r="91" spans="1:30" x14ac:dyDescent="0.2">
      <c r="A91" s="3">
        <v>39648</v>
      </c>
      <c r="B91" s="2" t="s">
        <v>179</v>
      </c>
      <c r="C91" t="s">
        <v>7</v>
      </c>
      <c r="D91" t="s">
        <v>207</v>
      </c>
      <c r="E91" s="2">
        <v>45699</v>
      </c>
      <c r="F91" s="2" cm="1">
        <f t="array" ref="F91">_xlfn.IFS(B91="Owner Surrender",E91,B91="Stray",E91+6,B91="Stray w/identification",E91+11,B91="Bite",E91+10,B91="Other",E91+30,B91="BAS",E91+56,B91="Seized",E91)</f>
        <v>45710</v>
      </c>
      <c r="G91" s="2">
        <v>45714</v>
      </c>
      <c r="H91" s="5">
        <f t="shared" si="5"/>
        <v>15</v>
      </c>
      <c r="I91" s="5">
        <f t="shared" si="7"/>
        <v>4</v>
      </c>
      <c r="J91" s="2" t="s">
        <v>31</v>
      </c>
      <c r="K91" s="2" t="s">
        <v>587</v>
      </c>
      <c r="L91" t="s">
        <v>297</v>
      </c>
      <c r="M91" t="s">
        <v>298</v>
      </c>
      <c r="AD91" s="33" t="str">
        <f t="shared" si="6"/>
        <v>Wednesday</v>
      </c>
    </row>
    <row r="92" spans="1:30" x14ac:dyDescent="0.2">
      <c r="A92" s="3">
        <v>39650</v>
      </c>
      <c r="B92" s="2" t="s">
        <v>36</v>
      </c>
      <c r="C92" t="s">
        <v>7</v>
      </c>
      <c r="D92" t="s">
        <v>207</v>
      </c>
      <c r="E92" s="2">
        <v>45700</v>
      </c>
      <c r="F92" s="2" cm="1">
        <f t="array" ref="F92">_xlfn.IFS(B92="Owner Surrender",E92,B92="Stray",E92+6,B92="Stray w/identification",E92+11,B92="Bite",E92+10,B92="Other",E92+30,B92="BAS",E92+56,B92="Seized",E92)</f>
        <v>45700</v>
      </c>
      <c r="G92" s="2">
        <v>45706</v>
      </c>
      <c r="H92" s="5">
        <f t="shared" si="5"/>
        <v>6</v>
      </c>
      <c r="I92" s="5">
        <f t="shared" si="7"/>
        <v>6</v>
      </c>
      <c r="J92" s="2" t="s">
        <v>18</v>
      </c>
      <c r="K92" s="2" t="s">
        <v>586</v>
      </c>
      <c r="AD92" s="33" t="str">
        <f t="shared" si="6"/>
        <v>Tuesday</v>
      </c>
    </row>
    <row r="93" spans="1:30" x14ac:dyDescent="0.2">
      <c r="A93" s="3">
        <v>39651</v>
      </c>
      <c r="B93" s="2" t="s">
        <v>36</v>
      </c>
      <c r="C93" t="s">
        <v>10</v>
      </c>
      <c r="D93" t="s">
        <v>209</v>
      </c>
      <c r="E93" s="2">
        <v>45700</v>
      </c>
      <c r="F93" s="2" cm="1">
        <f t="array" ref="F93">_xlfn.IFS(B93="Owner Surrender",E93,B93="Stray",E93+6,B93="Stray w/identification",E93+11,B93="Bite",E93+10,B93="Other",E93+30,B93="BAS",E93+56,B93="Seized",E93)</f>
        <v>45700</v>
      </c>
      <c r="G93" s="2">
        <v>45706</v>
      </c>
      <c r="H93" s="5">
        <f t="shared" si="5"/>
        <v>6</v>
      </c>
      <c r="I93" s="5">
        <f t="shared" si="7"/>
        <v>6</v>
      </c>
      <c r="J93" s="2" t="s">
        <v>18</v>
      </c>
      <c r="K93" s="2" t="s">
        <v>586</v>
      </c>
      <c r="AD93" s="33" t="str">
        <f t="shared" si="6"/>
        <v>Tuesday</v>
      </c>
    </row>
    <row r="94" spans="1:30" x14ac:dyDescent="0.2">
      <c r="A94" s="3">
        <v>39656</v>
      </c>
      <c r="B94" s="2" t="s">
        <v>36</v>
      </c>
      <c r="C94" t="s">
        <v>7</v>
      </c>
      <c r="D94" t="s">
        <v>209</v>
      </c>
      <c r="E94" s="2">
        <v>45701</v>
      </c>
      <c r="F94" s="2" cm="1">
        <f t="array" ref="F94">_xlfn.IFS(B94="Owner Surrender",E94,B94="Stray",E94+6,B94="Stray w/identification",E94+11,B94="Bite",E94+10,B94="Other",E94+30,B94="BAS",E94+56,B94="Seized",E94)</f>
        <v>45701</v>
      </c>
      <c r="G94" s="2">
        <v>45710</v>
      </c>
      <c r="H94" s="5">
        <f t="shared" si="5"/>
        <v>9</v>
      </c>
      <c r="I94" s="5">
        <f t="shared" si="7"/>
        <v>9</v>
      </c>
      <c r="J94" s="2" t="s">
        <v>31</v>
      </c>
      <c r="K94" s="2" t="s">
        <v>587</v>
      </c>
      <c r="M94" t="s">
        <v>296</v>
      </c>
      <c r="AD94" s="33" t="str">
        <f t="shared" si="6"/>
        <v>Saturday</v>
      </c>
    </row>
    <row r="95" spans="1:30" x14ac:dyDescent="0.2">
      <c r="A95" s="3">
        <v>39658</v>
      </c>
      <c r="B95" s="2" t="s">
        <v>36</v>
      </c>
      <c r="C95" t="s">
        <v>10</v>
      </c>
      <c r="D95" t="s">
        <v>209</v>
      </c>
      <c r="E95" s="2">
        <v>45702</v>
      </c>
      <c r="F95" s="2" cm="1">
        <f t="array" ref="F95">_xlfn.IFS(B95="Owner Surrender",E95,B95="Stray",E95+6,B95="Stray w/identification",E95+11,B95="Bite",E95+10,B95="Other",E95+30,B95="BAS",E95+56,B95="Seized",E95)</f>
        <v>45702</v>
      </c>
      <c r="G95" s="2">
        <v>45706</v>
      </c>
      <c r="H95" s="5">
        <f t="shared" si="5"/>
        <v>4</v>
      </c>
      <c r="I95" s="5">
        <f t="shared" si="7"/>
        <v>4</v>
      </c>
      <c r="J95" s="2" t="s">
        <v>18</v>
      </c>
      <c r="K95" s="2" t="s">
        <v>586</v>
      </c>
      <c r="AD95" s="33" t="str">
        <f t="shared" si="6"/>
        <v>Tuesday</v>
      </c>
    </row>
    <row r="96" spans="1:30" x14ac:dyDescent="0.2">
      <c r="A96" s="3">
        <v>39659</v>
      </c>
      <c r="B96" s="2" t="s">
        <v>36</v>
      </c>
      <c r="C96" t="s">
        <v>10</v>
      </c>
      <c r="D96" t="s">
        <v>209</v>
      </c>
      <c r="E96" s="2">
        <v>45702</v>
      </c>
      <c r="F96" s="2" cm="1">
        <f t="array" ref="F96">_xlfn.IFS(B96="Owner Surrender",E96,B96="Stray",E96+6,B96="Stray w/identification",E96+11,B96="Bite",E96+10,B96="Other",E96+30,B96="BAS",E96+56,B96="Seized",E96)</f>
        <v>45702</v>
      </c>
      <c r="G96" s="2">
        <v>45706</v>
      </c>
      <c r="H96" s="5">
        <f t="shared" si="5"/>
        <v>4</v>
      </c>
      <c r="I96" s="5">
        <f t="shared" si="7"/>
        <v>4</v>
      </c>
      <c r="J96" s="2" t="s">
        <v>18</v>
      </c>
      <c r="K96" s="2" t="s">
        <v>586</v>
      </c>
      <c r="AD96" s="33" t="str">
        <f t="shared" si="6"/>
        <v>Tuesday</v>
      </c>
    </row>
    <row r="97" spans="1:30" x14ac:dyDescent="0.2">
      <c r="A97" s="3">
        <v>39662</v>
      </c>
      <c r="B97" s="2" t="s">
        <v>38</v>
      </c>
      <c r="C97" t="s">
        <v>7</v>
      </c>
      <c r="D97" t="s">
        <v>207</v>
      </c>
      <c r="E97" s="2">
        <v>45703</v>
      </c>
      <c r="F97" s="2" cm="1">
        <f t="array" ref="F97">_xlfn.IFS(B97="Owner Surrender",E97,B97="Stray",E97+6,B97="Stray w/identification",E97+11,B97="Bite",E97+10,B97="Other",E97+30,B97="BAS",E97+56,B97="Seized",E97)</f>
        <v>45709</v>
      </c>
      <c r="G97" s="2">
        <v>45716</v>
      </c>
      <c r="H97" s="5">
        <f t="shared" si="5"/>
        <v>13</v>
      </c>
      <c r="I97" s="5">
        <f t="shared" si="7"/>
        <v>7</v>
      </c>
      <c r="J97" s="2" t="s">
        <v>31</v>
      </c>
      <c r="K97" s="2" t="s">
        <v>587</v>
      </c>
      <c r="L97" t="s">
        <v>295</v>
      </c>
      <c r="AD97" s="33" t="str">
        <f t="shared" si="6"/>
        <v>Friday</v>
      </c>
    </row>
    <row r="98" spans="1:30" x14ac:dyDescent="0.2">
      <c r="A98" s="3">
        <v>39668</v>
      </c>
      <c r="B98" s="2" t="s">
        <v>36</v>
      </c>
      <c r="C98" t="s">
        <v>7</v>
      </c>
      <c r="D98" t="s">
        <v>207</v>
      </c>
      <c r="E98" s="2">
        <v>45705</v>
      </c>
      <c r="F98" s="2" cm="1">
        <f t="array" ref="F98">_xlfn.IFS(B98="Owner Surrender",E98,B98="Stray",E98+6,B98="Stray w/identification",E98+11,B98="Bite",E98+10,B98="Other",E98+30,B98="BAS",E98+56,B98="Seized",E98)</f>
        <v>45705</v>
      </c>
      <c r="G98" s="2">
        <v>45706</v>
      </c>
      <c r="H98" s="5">
        <f t="shared" si="5"/>
        <v>1</v>
      </c>
      <c r="I98" s="5">
        <f t="shared" si="7"/>
        <v>1</v>
      </c>
      <c r="J98" s="2" t="s">
        <v>18</v>
      </c>
      <c r="K98" s="2" t="s">
        <v>586</v>
      </c>
      <c r="L98" t="s">
        <v>293</v>
      </c>
      <c r="M98" t="s">
        <v>294</v>
      </c>
      <c r="AD98" s="33" t="str">
        <f t="shared" si="6"/>
        <v>Tuesday</v>
      </c>
    </row>
    <row r="99" spans="1:30" x14ac:dyDescent="0.2">
      <c r="A99" s="3">
        <v>39669</v>
      </c>
      <c r="B99" s="2" t="s">
        <v>36</v>
      </c>
      <c r="C99" t="s">
        <v>7</v>
      </c>
      <c r="D99" t="s">
        <v>207</v>
      </c>
      <c r="E99" s="2">
        <v>45705</v>
      </c>
      <c r="F99" s="2" cm="1">
        <f t="array" ref="F99">_xlfn.IFS(B99="Owner Surrender",E99,B99="Stray",E99+6,B99="Stray w/identification",E99+11,B99="Bite",E99+10,B99="Other",E99+30,B99="BAS",E99+56,B99="Seized",E99)</f>
        <v>45705</v>
      </c>
      <c r="G99" s="2">
        <v>45706</v>
      </c>
      <c r="H99" s="5">
        <f t="shared" si="5"/>
        <v>1</v>
      </c>
      <c r="I99" s="5">
        <f t="shared" si="7"/>
        <v>1</v>
      </c>
      <c r="J99" s="2" t="s">
        <v>31</v>
      </c>
      <c r="K99" s="2" t="s">
        <v>587</v>
      </c>
      <c r="L99" t="s">
        <v>292</v>
      </c>
      <c r="AD99" s="33" t="str">
        <f t="shared" si="6"/>
        <v>Tuesday</v>
      </c>
    </row>
    <row r="100" spans="1:30" x14ac:dyDescent="0.2">
      <c r="A100" s="3">
        <v>39670</v>
      </c>
      <c r="B100" s="2" t="s">
        <v>36</v>
      </c>
      <c r="C100" t="s">
        <v>7</v>
      </c>
      <c r="D100" t="s">
        <v>207</v>
      </c>
      <c r="E100" s="2">
        <v>45705</v>
      </c>
      <c r="F100" s="2" cm="1">
        <f t="array" ref="F100">_xlfn.IFS(B100="Owner Surrender",E100,B100="Stray",E100+6,B100="Stray w/identification",E100+11,B100="Bite",E100+10,B100="Other",E100+30,B100="BAS",E100+56,B100="Seized",E100)</f>
        <v>45705</v>
      </c>
      <c r="G100" s="2">
        <v>45710</v>
      </c>
      <c r="H100" s="5">
        <f t="shared" si="5"/>
        <v>5</v>
      </c>
      <c r="I100" s="5">
        <f t="shared" si="7"/>
        <v>5</v>
      </c>
      <c r="J100" s="2" t="s">
        <v>31</v>
      </c>
      <c r="K100" s="2" t="s">
        <v>587</v>
      </c>
      <c r="L100" t="s">
        <v>291</v>
      </c>
      <c r="AD100" s="33" t="str">
        <f t="shared" si="6"/>
        <v>Saturday</v>
      </c>
    </row>
    <row r="101" spans="1:30" x14ac:dyDescent="0.2">
      <c r="A101" s="3">
        <v>39671</v>
      </c>
      <c r="B101" s="2" t="s">
        <v>36</v>
      </c>
      <c r="C101" t="s">
        <v>7</v>
      </c>
      <c r="D101" t="s">
        <v>210</v>
      </c>
      <c r="E101" s="2">
        <v>45705</v>
      </c>
      <c r="F101" s="2" cm="1">
        <f t="array" ref="F101">_xlfn.IFS(B101="Owner Surrender",E101,B101="Stray",E101+6,B101="Stray w/identification",E101+11,B101="Bite",E101+10,B101="Other",E101+30,B101="BAS",E101+56,B101="Seized",E101)</f>
        <v>45705</v>
      </c>
      <c r="G101" s="2">
        <v>45710</v>
      </c>
      <c r="H101" s="5">
        <f t="shared" si="5"/>
        <v>5</v>
      </c>
      <c r="I101" s="5">
        <f t="shared" si="7"/>
        <v>5</v>
      </c>
      <c r="J101" s="2" t="s">
        <v>31</v>
      </c>
      <c r="K101" s="2" t="s">
        <v>587</v>
      </c>
      <c r="L101" t="s">
        <v>290</v>
      </c>
      <c r="AD101" s="33" t="str">
        <f t="shared" si="6"/>
        <v>Saturday</v>
      </c>
    </row>
    <row r="102" spans="1:30" x14ac:dyDescent="0.2">
      <c r="A102" s="3">
        <v>39672</v>
      </c>
      <c r="B102" s="2" t="s">
        <v>36</v>
      </c>
      <c r="C102" t="s">
        <v>15</v>
      </c>
      <c r="D102" t="s">
        <v>207</v>
      </c>
      <c r="E102" s="2">
        <v>45705</v>
      </c>
      <c r="F102" s="2" cm="1">
        <f t="array" ref="F102">_xlfn.IFS(B102="Owner Surrender",E102,B102="Stray",E102+6,B102="Stray w/identification",E102+11,B102="Bite",E102+10,B102="Other",E102+30,B102="BAS",E102+56,B102="Seized",E102)</f>
        <v>45705</v>
      </c>
      <c r="G102" s="2">
        <v>45708</v>
      </c>
      <c r="H102" s="5">
        <f t="shared" si="5"/>
        <v>3</v>
      </c>
      <c r="I102" s="5">
        <f t="shared" si="7"/>
        <v>3</v>
      </c>
      <c r="J102" s="2" t="s">
        <v>31</v>
      </c>
      <c r="K102" s="2" t="s">
        <v>588</v>
      </c>
      <c r="L102" s="2"/>
      <c r="M102" t="s">
        <v>33</v>
      </c>
      <c r="AD102" s="33" t="str">
        <f t="shared" si="6"/>
        <v>Thursday</v>
      </c>
    </row>
    <row r="103" spans="1:30" x14ac:dyDescent="0.2">
      <c r="A103" s="3">
        <v>39676</v>
      </c>
      <c r="B103" s="2" t="s">
        <v>38</v>
      </c>
      <c r="C103" t="s">
        <v>7</v>
      </c>
      <c r="D103" t="s">
        <v>208</v>
      </c>
      <c r="E103" s="2">
        <v>45705</v>
      </c>
      <c r="F103" s="2" cm="1">
        <f t="array" ref="F103">_xlfn.IFS(B103="Owner Surrender",E103,B103="Stray",E103+6,B103="Stray w/identification",E103+11,B103="Bite",E103+10,B103="Other",E103+30,B103="BAS",E103+56,B103="Seized",E103)</f>
        <v>45711</v>
      </c>
      <c r="G103" s="2">
        <v>45714</v>
      </c>
      <c r="H103" s="5">
        <f t="shared" ref="H103:H166" si="8">+G103-E103</f>
        <v>9</v>
      </c>
      <c r="I103" s="5">
        <f t="shared" si="7"/>
        <v>3</v>
      </c>
      <c r="J103" s="2" t="s">
        <v>31</v>
      </c>
      <c r="K103" s="2" t="s">
        <v>587</v>
      </c>
      <c r="AD103" s="33" t="str">
        <f t="shared" si="6"/>
        <v>Wednesday</v>
      </c>
    </row>
    <row r="104" spans="1:30" x14ac:dyDescent="0.2">
      <c r="A104" s="3">
        <v>39677</v>
      </c>
      <c r="B104" s="2" t="s">
        <v>36</v>
      </c>
      <c r="C104" t="s">
        <v>7</v>
      </c>
      <c r="D104" t="s">
        <v>207</v>
      </c>
      <c r="E104" s="2">
        <v>45706</v>
      </c>
      <c r="F104" s="2" cm="1">
        <f t="array" ref="F104">_xlfn.IFS(B104="Owner Surrender",E104,B104="Stray",E104+6,B104="Stray w/identification",E104+11,B104="Bite",E104+10,B104="Other",E104+30,B104="BAS",E104+56,B104="Seized",E104)</f>
        <v>45706</v>
      </c>
      <c r="G104" s="2">
        <v>45716</v>
      </c>
      <c r="H104" s="5">
        <f t="shared" si="8"/>
        <v>10</v>
      </c>
      <c r="I104" s="5">
        <f t="shared" si="7"/>
        <v>10</v>
      </c>
      <c r="J104" s="2" t="s">
        <v>31</v>
      </c>
      <c r="K104" s="2" t="s">
        <v>587</v>
      </c>
      <c r="L104" s="2" t="s">
        <v>98</v>
      </c>
      <c r="AD104" s="33" t="str">
        <f t="shared" si="6"/>
        <v>Friday</v>
      </c>
    </row>
    <row r="105" spans="1:30" x14ac:dyDescent="0.2">
      <c r="A105" s="3">
        <v>39697</v>
      </c>
      <c r="B105" s="2" t="s">
        <v>38</v>
      </c>
      <c r="C105" t="s">
        <v>7</v>
      </c>
      <c r="D105" t="s">
        <v>208</v>
      </c>
      <c r="E105" s="2">
        <v>45710</v>
      </c>
      <c r="F105" s="2" cm="1">
        <f t="array" ref="F105">_xlfn.IFS(B105="Owner Surrender",E105,B105="Stray",E105+6,B105="Stray w/identification",E105+11,B105="Bite",E105+10,B105="Other",E105+30,B105="BAS",E105+56,B105="Seized",E105)</f>
        <v>45716</v>
      </c>
      <c r="G105" s="2">
        <v>45716</v>
      </c>
      <c r="H105" s="5">
        <f t="shared" si="8"/>
        <v>6</v>
      </c>
      <c r="I105" s="5">
        <f t="shared" si="7"/>
        <v>0</v>
      </c>
      <c r="J105" s="2" t="s">
        <v>31</v>
      </c>
      <c r="K105" s="2" t="s">
        <v>24</v>
      </c>
      <c r="M105" t="s">
        <v>289</v>
      </c>
      <c r="AD105" s="33" t="str">
        <f t="shared" si="6"/>
        <v>Friday</v>
      </c>
    </row>
    <row r="106" spans="1:30" x14ac:dyDescent="0.2">
      <c r="A106" s="3">
        <v>39698</v>
      </c>
      <c r="B106" s="2" t="s">
        <v>38</v>
      </c>
      <c r="C106" t="s">
        <v>7</v>
      </c>
      <c r="D106" t="s">
        <v>208</v>
      </c>
      <c r="E106" s="2">
        <v>45710</v>
      </c>
      <c r="F106" s="2" cm="1">
        <f t="array" ref="F106">_xlfn.IFS(B106="Owner Surrender",E106,B106="Stray",E106+6,B106="Stray w/identification",E106+11,B106="Bite",E106+10,B106="Other",E106+30,B106="BAS",E106+56,B106="Seized",E106)</f>
        <v>45716</v>
      </c>
      <c r="G106" s="2">
        <v>45716</v>
      </c>
      <c r="H106" s="5">
        <f t="shared" si="8"/>
        <v>6</v>
      </c>
      <c r="I106" s="5">
        <f t="shared" si="7"/>
        <v>0</v>
      </c>
      <c r="J106" s="2" t="s">
        <v>31</v>
      </c>
      <c r="K106" s="2" t="s">
        <v>24</v>
      </c>
      <c r="L106" s="2"/>
      <c r="M106" t="s">
        <v>289</v>
      </c>
      <c r="AD106" s="33" t="str">
        <f t="shared" si="6"/>
        <v>Friday</v>
      </c>
    </row>
    <row r="107" spans="1:30" x14ac:dyDescent="0.2">
      <c r="A107" s="3">
        <v>39704</v>
      </c>
      <c r="B107" s="2" t="s">
        <v>38</v>
      </c>
      <c r="C107" t="s">
        <v>7</v>
      </c>
      <c r="D107" t="s">
        <v>207</v>
      </c>
      <c r="E107" s="2">
        <v>45711</v>
      </c>
      <c r="F107" s="2" cm="1">
        <f t="array" ref="F107">_xlfn.IFS(B107="Owner Surrender",E107,B107="Stray",E107+6,B107="Stray w/identification",E107+11,B107="Bite",E107+10,B107="Other",E107+30,B107="BAS",E107+56,B107="Seized",E107)</f>
        <v>45717</v>
      </c>
      <c r="G107" s="2">
        <v>45720</v>
      </c>
      <c r="H107" s="5">
        <f t="shared" si="8"/>
        <v>9</v>
      </c>
      <c r="I107" s="5">
        <f t="shared" si="7"/>
        <v>3</v>
      </c>
      <c r="J107" s="2" t="s">
        <v>31</v>
      </c>
      <c r="K107" s="2" t="s">
        <v>588</v>
      </c>
      <c r="L107" s="2"/>
      <c r="AD107" s="33" t="str">
        <f t="shared" si="6"/>
        <v>Tuesday</v>
      </c>
    </row>
    <row r="108" spans="1:30" x14ac:dyDescent="0.2">
      <c r="A108" s="3">
        <v>39713</v>
      </c>
      <c r="B108" s="2" t="s">
        <v>36</v>
      </c>
      <c r="C108" t="s">
        <v>7</v>
      </c>
      <c r="D108" t="s">
        <v>207</v>
      </c>
      <c r="E108" s="2">
        <v>45712</v>
      </c>
      <c r="F108" s="2" cm="1">
        <f t="array" ref="F108">_xlfn.IFS(B108="Owner Surrender",E108,B108="Stray",E108+6,B108="Stray w/identification",E108+11,B108="Bite",E108+10,B108="Other",E108+30,B108="BAS",E108+56,B108="Seized",E108)</f>
        <v>45712</v>
      </c>
      <c r="G108" s="2">
        <v>45722</v>
      </c>
      <c r="H108" s="5">
        <f t="shared" si="8"/>
        <v>10</v>
      </c>
      <c r="I108" s="5">
        <f t="shared" si="7"/>
        <v>10</v>
      </c>
      <c r="J108" s="2" t="s">
        <v>18</v>
      </c>
      <c r="K108" s="2" t="s">
        <v>586</v>
      </c>
      <c r="L108" s="2"/>
      <c r="AD108" s="33" t="str">
        <f t="shared" si="6"/>
        <v>Thursday</v>
      </c>
    </row>
    <row r="109" spans="1:30" x14ac:dyDescent="0.2">
      <c r="A109" s="3">
        <v>39714</v>
      </c>
      <c r="B109" s="2" t="s">
        <v>36</v>
      </c>
      <c r="C109" t="s">
        <v>7</v>
      </c>
      <c r="D109" t="s">
        <v>207</v>
      </c>
      <c r="E109" s="2">
        <v>45712</v>
      </c>
      <c r="F109" s="2" cm="1">
        <f t="array" ref="F109">_xlfn.IFS(B109="Owner Surrender",E109,B109="Stray",E109+6,B109="Stray w/identification",E109+11,B109="Bite",E109+10,B109="Other",E109+30,B109="BAS",E109+56,B109="Seized",E109)</f>
        <v>45712</v>
      </c>
      <c r="G109" s="2">
        <v>45719</v>
      </c>
      <c r="H109" s="5">
        <f t="shared" si="8"/>
        <v>7</v>
      </c>
      <c r="I109" s="5">
        <f t="shared" si="7"/>
        <v>7</v>
      </c>
      <c r="J109" s="2" t="s">
        <v>31</v>
      </c>
      <c r="K109" s="2" t="s">
        <v>587</v>
      </c>
      <c r="L109" s="2" t="s">
        <v>288</v>
      </c>
      <c r="AD109" s="33" t="str">
        <f t="shared" si="6"/>
        <v>Monday</v>
      </c>
    </row>
    <row r="110" spans="1:30" x14ac:dyDescent="0.2">
      <c r="A110" s="3">
        <v>39719</v>
      </c>
      <c r="B110" s="2" t="s">
        <v>38</v>
      </c>
      <c r="C110" t="s">
        <v>7</v>
      </c>
      <c r="D110" t="s">
        <v>207</v>
      </c>
      <c r="E110" s="2">
        <v>45712</v>
      </c>
      <c r="F110" s="2" cm="1">
        <f t="array" ref="F110">_xlfn.IFS(B110="Owner Surrender",E110,B110="Stray",E110+6,B110="Stray w/identification",E110+11,B110="Bite",E110+10,B110="Other",E110+30,B110="BAS",E110+56,B110="Seized",E110)</f>
        <v>45718</v>
      </c>
      <c r="G110" s="2">
        <v>45720</v>
      </c>
      <c r="H110" s="5">
        <f t="shared" si="8"/>
        <v>8</v>
      </c>
      <c r="I110" s="5">
        <f t="shared" si="7"/>
        <v>2</v>
      </c>
      <c r="J110" s="2" t="s">
        <v>31</v>
      </c>
      <c r="K110" s="2" t="s">
        <v>587</v>
      </c>
      <c r="L110" s="2"/>
      <c r="AD110" s="33" t="str">
        <f t="shared" si="6"/>
        <v>Tuesday</v>
      </c>
    </row>
    <row r="111" spans="1:30" x14ac:dyDescent="0.2">
      <c r="A111" s="3">
        <v>39720</v>
      </c>
      <c r="B111" s="2" t="s">
        <v>38</v>
      </c>
      <c r="C111" t="s">
        <v>7</v>
      </c>
      <c r="D111" t="s">
        <v>208</v>
      </c>
      <c r="E111" s="2">
        <v>45712</v>
      </c>
      <c r="F111" s="2" cm="1">
        <f t="array" ref="F111">_xlfn.IFS(B111="Owner Surrender",E111,B111="Stray",E111+6,B111="Stray w/identification",E111+11,B111="Bite",E111+10,B111="Other",E111+30,B111="BAS",E111+56,B111="Seized",E111)</f>
        <v>45718</v>
      </c>
      <c r="G111" s="2">
        <v>45722</v>
      </c>
      <c r="H111" s="5">
        <f t="shared" si="8"/>
        <v>10</v>
      </c>
      <c r="I111" s="5">
        <f t="shared" si="7"/>
        <v>4</v>
      </c>
      <c r="J111" s="2" t="s">
        <v>18</v>
      </c>
      <c r="K111" s="2" t="s">
        <v>586</v>
      </c>
      <c r="L111" s="2"/>
      <c r="AD111" s="33" t="str">
        <f t="shared" si="6"/>
        <v>Thursday</v>
      </c>
    </row>
    <row r="112" spans="1:30" x14ac:dyDescent="0.2">
      <c r="A112" s="3">
        <v>39721</v>
      </c>
      <c r="B112" s="2" t="s">
        <v>38</v>
      </c>
      <c r="C112" t="s">
        <v>7</v>
      </c>
      <c r="D112" t="s">
        <v>208</v>
      </c>
      <c r="E112" s="2">
        <v>45712</v>
      </c>
      <c r="F112" s="2" cm="1">
        <f t="array" ref="F112">_xlfn.IFS(B112="Owner Surrender",E112,B112="Stray",E112+6,B112="Stray w/identification",E112+11,B112="Bite",E112+10,B112="Other",E112+30,B112="BAS",E112+56,B112="Seized",E112)</f>
        <v>45718</v>
      </c>
      <c r="G112" s="2">
        <v>45722</v>
      </c>
      <c r="H112" s="5">
        <f t="shared" si="8"/>
        <v>10</v>
      </c>
      <c r="I112" s="5">
        <f t="shared" si="7"/>
        <v>4</v>
      </c>
      <c r="J112" s="2" t="s">
        <v>18</v>
      </c>
      <c r="K112" s="2" t="s">
        <v>586</v>
      </c>
      <c r="L112" s="2" t="s">
        <v>269</v>
      </c>
      <c r="AD112" s="33" t="str">
        <f t="shared" si="6"/>
        <v>Thursday</v>
      </c>
    </row>
    <row r="113" spans="1:30" x14ac:dyDescent="0.2">
      <c r="A113" s="3">
        <v>39722</v>
      </c>
      <c r="B113" s="2" t="s">
        <v>38</v>
      </c>
      <c r="C113" t="s">
        <v>7</v>
      </c>
      <c r="D113" t="s">
        <v>208</v>
      </c>
      <c r="E113" s="2">
        <v>45712</v>
      </c>
      <c r="F113" s="2" cm="1">
        <f t="array" ref="F113">_xlfn.IFS(B113="Owner Surrender",E113,B113="Stray",E113+6,B113="Stray w/identification",E113+11,B113="Bite",E113+10,B113="Other",E113+30,B113="BAS",E113+56,B113="Seized",E113)</f>
        <v>45718</v>
      </c>
      <c r="G113" s="2">
        <v>45722</v>
      </c>
      <c r="H113" s="5">
        <f t="shared" si="8"/>
        <v>10</v>
      </c>
      <c r="I113" s="5">
        <f t="shared" si="7"/>
        <v>4</v>
      </c>
      <c r="J113" s="2" t="s">
        <v>18</v>
      </c>
      <c r="K113" s="2" t="s">
        <v>586</v>
      </c>
      <c r="L113" s="2" t="s">
        <v>584</v>
      </c>
      <c r="AD113" s="33" t="str">
        <f t="shared" si="6"/>
        <v>Thursday</v>
      </c>
    </row>
    <row r="114" spans="1:30" x14ac:dyDescent="0.2">
      <c r="A114" s="3">
        <v>39723</v>
      </c>
      <c r="B114" s="2" t="s">
        <v>38</v>
      </c>
      <c r="C114" t="s">
        <v>7</v>
      </c>
      <c r="D114" t="s">
        <v>208</v>
      </c>
      <c r="E114" s="2">
        <v>45712</v>
      </c>
      <c r="F114" s="2" cm="1">
        <f t="array" ref="F114">_xlfn.IFS(B114="Owner Surrender",E114,B114="Stray",E114+6,B114="Stray w/identification",E114+11,B114="Bite",E114+10,B114="Other",E114+30,B114="BAS",E114+56,B114="Seized",E114)</f>
        <v>45718</v>
      </c>
      <c r="G114" s="2">
        <v>45722</v>
      </c>
      <c r="H114" s="5">
        <f t="shared" si="8"/>
        <v>10</v>
      </c>
      <c r="I114" s="5">
        <f t="shared" si="7"/>
        <v>4</v>
      </c>
      <c r="J114" s="2" t="s">
        <v>18</v>
      </c>
      <c r="K114" s="2" t="s">
        <v>586</v>
      </c>
      <c r="AD114" s="33" t="str">
        <f t="shared" si="6"/>
        <v>Thursday</v>
      </c>
    </row>
    <row r="115" spans="1:30" x14ac:dyDescent="0.2">
      <c r="A115" s="3">
        <v>39724</v>
      </c>
      <c r="B115" s="2" t="s">
        <v>38</v>
      </c>
      <c r="C115" t="s">
        <v>7</v>
      </c>
      <c r="D115" t="s">
        <v>208</v>
      </c>
      <c r="E115" s="2">
        <v>45712</v>
      </c>
      <c r="F115" s="2" cm="1">
        <f t="array" ref="F115">_xlfn.IFS(B115="Owner Surrender",E115,B115="Stray",E115+6,B115="Stray w/identification",E115+11,B115="Bite",E115+10,B115="Other",E115+30,B115="BAS",E115+56,B115="Seized",E115)</f>
        <v>45718</v>
      </c>
      <c r="G115" s="2">
        <v>45722</v>
      </c>
      <c r="H115" s="5">
        <f t="shared" si="8"/>
        <v>10</v>
      </c>
      <c r="I115" s="5">
        <f t="shared" si="7"/>
        <v>4</v>
      </c>
      <c r="J115" s="2" t="s">
        <v>18</v>
      </c>
      <c r="K115" s="2" t="s">
        <v>586</v>
      </c>
      <c r="L115" t="s">
        <v>320</v>
      </c>
      <c r="AD115" s="33" t="str">
        <f t="shared" si="6"/>
        <v>Thursday</v>
      </c>
    </row>
    <row r="116" spans="1:30" x14ac:dyDescent="0.2">
      <c r="A116" s="3">
        <v>39728</v>
      </c>
      <c r="B116" s="2" t="s">
        <v>36</v>
      </c>
      <c r="C116" t="s">
        <v>7</v>
      </c>
      <c r="D116" t="s">
        <v>208</v>
      </c>
      <c r="E116" s="2">
        <v>45713</v>
      </c>
      <c r="F116" s="2" cm="1">
        <f t="array" ref="F116">_xlfn.IFS(B116="Owner Surrender",E116,B116="Stray",E116+6,B116="Stray w/identification",E116+11,B116="Bite",E116+10,B116="Other",E116+30,B116="BAS",E116+56,B116="Seized",E116)</f>
        <v>45713</v>
      </c>
      <c r="G116" s="2">
        <v>45722</v>
      </c>
      <c r="H116" s="5">
        <f t="shared" si="8"/>
        <v>9</v>
      </c>
      <c r="I116" s="5">
        <f t="shared" si="7"/>
        <v>9</v>
      </c>
      <c r="J116" s="2" t="s">
        <v>18</v>
      </c>
      <c r="K116" s="2" t="s">
        <v>586</v>
      </c>
      <c r="L116" t="s">
        <v>319</v>
      </c>
      <c r="AD116" s="33" t="str">
        <f t="shared" si="6"/>
        <v>Thursday</v>
      </c>
    </row>
    <row r="117" spans="1:30" x14ac:dyDescent="0.2">
      <c r="A117" s="3">
        <v>39729</v>
      </c>
      <c r="B117" s="2" t="s">
        <v>36</v>
      </c>
      <c r="C117" t="s">
        <v>7</v>
      </c>
      <c r="D117" t="s">
        <v>207</v>
      </c>
      <c r="E117" s="2">
        <v>45713</v>
      </c>
      <c r="F117" s="2" cm="1">
        <f t="array" ref="F117">_xlfn.IFS(B117="Owner Surrender",E117,B117="Stray",E117+6,B117="Stray w/identification",E117+11,B117="Bite",E117+10,B117="Other",E117+30,B117="BAS",E117+56,B117="Seized",E117)</f>
        <v>45713</v>
      </c>
      <c r="G117" s="2">
        <v>45716</v>
      </c>
      <c r="H117" s="5">
        <f t="shared" si="8"/>
        <v>3</v>
      </c>
      <c r="I117" s="5">
        <f t="shared" si="7"/>
        <v>3</v>
      </c>
      <c r="J117" s="2" t="s">
        <v>31</v>
      </c>
      <c r="K117" s="2" t="s">
        <v>587</v>
      </c>
      <c r="AD117" s="33" t="str">
        <f t="shared" si="6"/>
        <v>Friday</v>
      </c>
    </row>
    <row r="118" spans="1:30" x14ac:dyDescent="0.2">
      <c r="A118" s="3">
        <v>39730</v>
      </c>
      <c r="B118" s="2" t="s">
        <v>36</v>
      </c>
      <c r="C118" t="s">
        <v>7</v>
      </c>
      <c r="D118" t="s">
        <v>207</v>
      </c>
      <c r="E118" s="2">
        <v>45713</v>
      </c>
      <c r="F118" s="2" cm="1">
        <f t="array" ref="F118">_xlfn.IFS(B118="Owner Surrender",E118,B118="Stray",E118+6,B118="Stray w/identification",E118+11,B118="Bite",E118+10,B118="Other",E118+30,B118="BAS",E118+56,B118="Seized",E118)</f>
        <v>45713</v>
      </c>
      <c r="G118" s="2">
        <v>45722</v>
      </c>
      <c r="H118" s="5">
        <f t="shared" si="8"/>
        <v>9</v>
      </c>
      <c r="I118" s="5">
        <f t="shared" si="7"/>
        <v>9</v>
      </c>
      <c r="J118" s="2" t="s">
        <v>18</v>
      </c>
      <c r="K118" s="2" t="s">
        <v>586</v>
      </c>
      <c r="L118" t="s">
        <v>318</v>
      </c>
      <c r="AD118" s="33" t="str">
        <f t="shared" si="6"/>
        <v>Thursday</v>
      </c>
    </row>
    <row r="119" spans="1:30" x14ac:dyDescent="0.2">
      <c r="A119" s="3">
        <v>39733</v>
      </c>
      <c r="B119" s="2" t="s">
        <v>38</v>
      </c>
      <c r="C119" t="s">
        <v>7</v>
      </c>
      <c r="D119" t="s">
        <v>207</v>
      </c>
      <c r="E119" s="2">
        <v>45713</v>
      </c>
      <c r="F119" s="2" cm="1">
        <f t="array" ref="F119">_xlfn.IFS(B119="Owner Surrender",E119,B119="Stray",E119+6,B119="Stray w/identification",E119+11,B119="Bite",E119+10,B119="Other",E119+30,B119="BAS",E119+56,B119="Seized",E119)</f>
        <v>45719</v>
      </c>
      <c r="G119" s="2">
        <v>45722</v>
      </c>
      <c r="H119" s="5">
        <f t="shared" si="8"/>
        <v>9</v>
      </c>
      <c r="I119" s="5">
        <f t="shared" si="7"/>
        <v>3</v>
      </c>
      <c r="J119" s="2" t="s">
        <v>18</v>
      </c>
      <c r="K119" s="2" t="s">
        <v>586</v>
      </c>
      <c r="L119" t="s">
        <v>317</v>
      </c>
      <c r="AD119" s="33" t="str">
        <f t="shared" si="6"/>
        <v>Thursday</v>
      </c>
    </row>
    <row r="120" spans="1:30" x14ac:dyDescent="0.2">
      <c r="A120" s="3">
        <v>39734</v>
      </c>
      <c r="B120" s="2" t="s">
        <v>38</v>
      </c>
      <c r="C120" t="s">
        <v>7</v>
      </c>
      <c r="D120" t="s">
        <v>207</v>
      </c>
      <c r="E120" s="2">
        <v>45713</v>
      </c>
      <c r="F120" s="2" cm="1">
        <f t="array" ref="F120">_xlfn.IFS(B120="Owner Surrender",E120,B120="Stray",E120+6,B120="Stray w/identification",E120+11,B120="Bite",E120+10,B120="Other",E120+30,B120="BAS",E120+56,B120="Seized",E120)</f>
        <v>45719</v>
      </c>
      <c r="G120" s="2">
        <v>45722</v>
      </c>
      <c r="H120" s="5">
        <f t="shared" si="8"/>
        <v>9</v>
      </c>
      <c r="I120" s="5">
        <f t="shared" si="7"/>
        <v>3</v>
      </c>
      <c r="J120" s="2" t="s">
        <v>18</v>
      </c>
      <c r="K120" s="2" t="s">
        <v>586</v>
      </c>
      <c r="L120" t="s">
        <v>316</v>
      </c>
      <c r="AD120" s="33" t="str">
        <f t="shared" si="6"/>
        <v>Thursday</v>
      </c>
    </row>
    <row r="121" spans="1:30" x14ac:dyDescent="0.2">
      <c r="A121" s="3">
        <v>39735</v>
      </c>
      <c r="B121" s="2" t="s">
        <v>38</v>
      </c>
      <c r="C121" t="s">
        <v>7</v>
      </c>
      <c r="D121" t="s">
        <v>207</v>
      </c>
      <c r="E121" s="2">
        <v>45713</v>
      </c>
      <c r="F121" s="2" cm="1">
        <f t="array" ref="F121">_xlfn.IFS(B121="Owner Surrender",E121,B121="Stray",E121+6,B121="Stray w/identification",E121+11,B121="Bite",E121+10,B121="Other",E121+30,B121="BAS",E121+56,B121="Seized",E121)</f>
        <v>45719</v>
      </c>
      <c r="G121" s="2">
        <v>45722</v>
      </c>
      <c r="H121" s="5">
        <f t="shared" si="8"/>
        <v>9</v>
      </c>
      <c r="I121" s="5">
        <f t="shared" si="7"/>
        <v>3</v>
      </c>
      <c r="J121" s="2" t="s">
        <v>18</v>
      </c>
      <c r="K121" s="2" t="s">
        <v>586</v>
      </c>
      <c r="AD121" s="33" t="str">
        <f t="shared" si="6"/>
        <v>Thursday</v>
      </c>
    </row>
    <row r="122" spans="1:30" x14ac:dyDescent="0.2">
      <c r="A122" s="3">
        <v>39736</v>
      </c>
      <c r="B122" s="2" t="s">
        <v>38</v>
      </c>
      <c r="C122" t="s">
        <v>7</v>
      </c>
      <c r="D122" t="s">
        <v>207</v>
      </c>
      <c r="E122" s="2">
        <v>45713</v>
      </c>
      <c r="F122" s="2" cm="1">
        <f t="array" ref="F122">_xlfn.IFS(B122="Owner Surrender",E122,B122="Stray",E122+6,B122="Stray w/identification",E122+11,B122="Bite",E122+10,B122="Other",E122+30,B122="BAS",E122+56,B122="Seized",E122)</f>
        <v>45719</v>
      </c>
      <c r="G122" s="2">
        <v>45721</v>
      </c>
      <c r="H122" s="5">
        <f t="shared" si="8"/>
        <v>8</v>
      </c>
      <c r="I122" s="5">
        <f t="shared" si="7"/>
        <v>2</v>
      </c>
      <c r="J122" s="2" t="s">
        <v>31</v>
      </c>
      <c r="K122" s="2" t="s">
        <v>587</v>
      </c>
      <c r="L122" s="2"/>
      <c r="M122" s="2"/>
      <c r="AD122" s="33" t="str">
        <f t="shared" si="6"/>
        <v>Wednesday</v>
      </c>
    </row>
    <row r="123" spans="1:30" x14ac:dyDescent="0.2">
      <c r="A123" s="3">
        <v>39737</v>
      </c>
      <c r="B123" s="2" t="s">
        <v>38</v>
      </c>
      <c r="C123" t="s">
        <v>10</v>
      </c>
      <c r="D123" t="s">
        <v>207</v>
      </c>
      <c r="E123" s="2">
        <v>45713</v>
      </c>
      <c r="F123" s="2" cm="1">
        <f t="array" ref="F123">_xlfn.IFS(B123="Owner Surrender",E123,B123="Stray",E123+6,B123="Stray w/identification",E123+11,B123="Bite",E123+10,B123="Other",E123+30,B123="BAS",E123+56,B123="Seized",E123)</f>
        <v>45719</v>
      </c>
      <c r="G123" s="2">
        <v>45722</v>
      </c>
      <c r="H123" s="5">
        <f t="shared" si="8"/>
        <v>9</v>
      </c>
      <c r="I123" s="5">
        <f t="shared" si="7"/>
        <v>3</v>
      </c>
      <c r="J123" s="2" t="s">
        <v>18</v>
      </c>
      <c r="K123" s="2" t="s">
        <v>586</v>
      </c>
      <c r="L123" t="s">
        <v>315</v>
      </c>
      <c r="AD123" s="33" t="str">
        <f t="shared" si="6"/>
        <v>Thursday</v>
      </c>
    </row>
    <row r="124" spans="1:30" x14ac:dyDescent="0.2">
      <c r="A124" s="3">
        <v>39738</v>
      </c>
      <c r="B124" s="2" t="s">
        <v>38</v>
      </c>
      <c r="C124" t="s">
        <v>10</v>
      </c>
      <c r="D124" t="s">
        <v>207</v>
      </c>
      <c r="E124" s="2">
        <v>45713</v>
      </c>
      <c r="F124" s="2" cm="1">
        <f t="array" ref="F124">_xlfn.IFS(B124="Owner Surrender",E124,B124="Stray",E124+6,B124="Stray w/identification",E124+11,B124="Bite",E124+10,B124="Other",E124+30,B124="BAS",E124+56,B124="Seized",E124)</f>
        <v>45719</v>
      </c>
      <c r="G124" s="2">
        <v>45722</v>
      </c>
      <c r="H124" s="5">
        <f t="shared" si="8"/>
        <v>9</v>
      </c>
      <c r="I124" s="5">
        <f t="shared" si="7"/>
        <v>3</v>
      </c>
      <c r="J124" s="2" t="s">
        <v>31</v>
      </c>
      <c r="K124" s="2" t="s">
        <v>587</v>
      </c>
      <c r="AD124" s="33" t="str">
        <f t="shared" si="6"/>
        <v>Thursday</v>
      </c>
    </row>
    <row r="125" spans="1:30" x14ac:dyDescent="0.2">
      <c r="A125" s="3">
        <v>39739</v>
      </c>
      <c r="B125" s="2" t="s">
        <v>38</v>
      </c>
      <c r="C125" t="s">
        <v>7</v>
      </c>
      <c r="D125" t="s">
        <v>208</v>
      </c>
      <c r="E125" s="2">
        <v>45713</v>
      </c>
      <c r="F125" s="2" cm="1">
        <f t="array" ref="F125">_xlfn.IFS(B125="Owner Surrender",E125,B125="Stray",E125+6,B125="Stray w/identification",E125+11,B125="Bite",E125+10,B125="Other",E125+30,B125="BAS",E125+56,B125="Seized",E125)</f>
        <v>45719</v>
      </c>
      <c r="G125" s="2">
        <v>45722</v>
      </c>
      <c r="H125" s="5">
        <f t="shared" si="8"/>
        <v>9</v>
      </c>
      <c r="I125" s="5">
        <f t="shared" si="7"/>
        <v>3</v>
      </c>
      <c r="J125" s="2" t="s">
        <v>31</v>
      </c>
      <c r="K125" s="2" t="s">
        <v>587</v>
      </c>
      <c r="AD125" s="33" t="str">
        <f t="shared" si="6"/>
        <v>Thursday</v>
      </c>
    </row>
    <row r="126" spans="1:30" x14ac:dyDescent="0.2">
      <c r="A126" s="3">
        <v>39740</v>
      </c>
      <c r="B126" s="2" t="s">
        <v>38</v>
      </c>
      <c r="C126" t="s">
        <v>7</v>
      </c>
      <c r="D126" t="s">
        <v>208</v>
      </c>
      <c r="E126" s="2">
        <v>45713</v>
      </c>
      <c r="F126" s="2" cm="1">
        <f t="array" ref="F126">_xlfn.IFS(B126="Owner Surrender",E126,B126="Stray",E126+6,B126="Stray w/identification",E126+11,B126="Bite",E126+10,B126="Other",E126+30,B126="BAS",E126+56,B126="Seized",E126)</f>
        <v>45719</v>
      </c>
      <c r="G126" s="2">
        <v>45722</v>
      </c>
      <c r="H126" s="5">
        <f t="shared" si="8"/>
        <v>9</v>
      </c>
      <c r="I126" s="5">
        <f t="shared" si="7"/>
        <v>3</v>
      </c>
      <c r="J126" s="2" t="s">
        <v>31</v>
      </c>
      <c r="K126" s="2" t="s">
        <v>587</v>
      </c>
      <c r="AD126" s="33" t="str">
        <f t="shared" si="6"/>
        <v>Thursday</v>
      </c>
    </row>
    <row r="127" spans="1:30" x14ac:dyDescent="0.2">
      <c r="A127" s="3">
        <v>39741</v>
      </c>
      <c r="B127" s="2" t="s">
        <v>38</v>
      </c>
      <c r="C127" t="s">
        <v>10</v>
      </c>
      <c r="D127" t="s">
        <v>208</v>
      </c>
      <c r="E127" s="2">
        <v>45713</v>
      </c>
      <c r="F127" s="2" cm="1">
        <f t="array" ref="F127">_xlfn.IFS(B127="Owner Surrender",E127,B127="Stray",E127+6,B127="Stray w/identification",E127+11,B127="Bite",E127+10,B127="Other",E127+30,B127="BAS",E127+56,B127="Seized",E127)</f>
        <v>45719</v>
      </c>
      <c r="G127" s="2">
        <v>45722</v>
      </c>
      <c r="H127" s="5">
        <f t="shared" si="8"/>
        <v>9</v>
      </c>
      <c r="I127" s="5">
        <f t="shared" si="7"/>
        <v>3</v>
      </c>
      <c r="J127" s="2" t="s">
        <v>31</v>
      </c>
      <c r="K127" s="2" t="s">
        <v>587</v>
      </c>
      <c r="AD127" s="33" t="str">
        <f t="shared" si="6"/>
        <v>Thursday</v>
      </c>
    </row>
    <row r="128" spans="1:30" x14ac:dyDescent="0.2">
      <c r="A128" s="3">
        <v>39742</v>
      </c>
      <c r="B128" s="2" t="s">
        <v>38</v>
      </c>
      <c r="C128" t="s">
        <v>7</v>
      </c>
      <c r="D128" t="s">
        <v>208</v>
      </c>
      <c r="E128" s="2">
        <v>45713</v>
      </c>
      <c r="F128" s="2" cm="1">
        <f t="array" ref="F128">_xlfn.IFS(B128="Owner Surrender",E128,B128="Stray",E128+6,B128="Stray w/identification",E128+11,B128="Bite",E128+10,B128="Other",E128+30,B128="BAS",E128+56,B128="Seized",E128)</f>
        <v>45719</v>
      </c>
      <c r="G128" s="2">
        <v>45722</v>
      </c>
      <c r="H128" s="5">
        <f t="shared" si="8"/>
        <v>9</v>
      </c>
      <c r="I128" s="5">
        <f t="shared" si="7"/>
        <v>3</v>
      </c>
      <c r="J128" s="2" t="s">
        <v>31</v>
      </c>
      <c r="K128" s="2" t="s">
        <v>587</v>
      </c>
      <c r="AD128" s="33" t="str">
        <f t="shared" si="6"/>
        <v>Thursday</v>
      </c>
    </row>
    <row r="129" spans="1:30" x14ac:dyDescent="0.2">
      <c r="A129" s="3">
        <v>39743</v>
      </c>
      <c r="B129" s="2" t="s">
        <v>36</v>
      </c>
      <c r="C129" t="s">
        <v>7</v>
      </c>
      <c r="D129" t="s">
        <v>207</v>
      </c>
      <c r="E129" s="2">
        <v>45714</v>
      </c>
      <c r="F129" s="2" cm="1">
        <f t="array" ref="F129">_xlfn.IFS(B129="Owner Surrender",E129,B129="Stray",E129+6,B129="Stray w/identification",E129+11,B129="Bite",E129+10,B129="Other",E129+30,B129="BAS",E129+56,B129="Seized",E129)</f>
        <v>45714</v>
      </c>
      <c r="G129" s="2">
        <v>45716</v>
      </c>
      <c r="H129" s="5">
        <f t="shared" si="8"/>
        <v>2</v>
      </c>
      <c r="I129" s="5">
        <f t="shared" si="7"/>
        <v>2</v>
      </c>
      <c r="J129" s="2" t="s">
        <v>31</v>
      </c>
      <c r="K129" s="2" t="s">
        <v>587</v>
      </c>
      <c r="AD129" s="33" t="str">
        <f t="shared" si="6"/>
        <v>Friday</v>
      </c>
    </row>
    <row r="130" spans="1:30" x14ac:dyDescent="0.2">
      <c r="A130" s="3">
        <v>39747</v>
      </c>
      <c r="B130" s="2" t="s">
        <v>38</v>
      </c>
      <c r="C130" t="s">
        <v>7</v>
      </c>
      <c r="D130" t="s">
        <v>207</v>
      </c>
      <c r="E130" s="2">
        <v>45714</v>
      </c>
      <c r="F130" s="2" cm="1">
        <f t="array" ref="F130">_xlfn.IFS(B130="Owner Surrender",E130,B130="Stray",E130+6,B130="Stray w/identification",E130+11,B130="Bite",E130+10,B130="Other",E130+30,B130="BAS",E130+56,B130="Seized",E130)</f>
        <v>45720</v>
      </c>
      <c r="G130" s="2">
        <v>45720</v>
      </c>
      <c r="H130" s="5">
        <f t="shared" si="8"/>
        <v>6</v>
      </c>
      <c r="I130" s="5">
        <f t="shared" si="7"/>
        <v>0</v>
      </c>
      <c r="J130" s="2" t="s">
        <v>31</v>
      </c>
      <c r="K130" s="2" t="s">
        <v>587</v>
      </c>
      <c r="AD130" s="33" t="str">
        <f t="shared" si="6"/>
        <v>Tuesday</v>
      </c>
    </row>
    <row r="131" spans="1:30" x14ac:dyDescent="0.2">
      <c r="A131" s="3">
        <v>39748</v>
      </c>
      <c r="B131" s="2" t="s">
        <v>38</v>
      </c>
      <c r="C131" t="s">
        <v>7</v>
      </c>
      <c r="D131" t="s">
        <v>207</v>
      </c>
      <c r="E131" s="2">
        <v>45714</v>
      </c>
      <c r="F131" s="2" cm="1">
        <f t="array" ref="F131">_xlfn.IFS(B131="Owner Surrender",E131,B131="Stray",E131+6,B131="Stray w/identification",E131+11,B131="Bite",E131+10,B131="Other",E131+30,B131="BAS",E131+56,B131="Seized",E131)</f>
        <v>45720</v>
      </c>
      <c r="G131" s="2">
        <v>45720</v>
      </c>
      <c r="H131" s="5">
        <f t="shared" si="8"/>
        <v>6</v>
      </c>
      <c r="I131" s="5">
        <f t="shared" si="7"/>
        <v>0</v>
      </c>
      <c r="J131" s="2" t="s">
        <v>31</v>
      </c>
      <c r="K131" s="2" t="s">
        <v>587</v>
      </c>
      <c r="AD131" s="33" t="str">
        <f t="shared" si="6"/>
        <v>Tuesday</v>
      </c>
    </row>
    <row r="132" spans="1:30" x14ac:dyDescent="0.2">
      <c r="A132" s="3">
        <v>39749</v>
      </c>
      <c r="B132" s="2" t="s">
        <v>38</v>
      </c>
      <c r="C132" t="s">
        <v>7</v>
      </c>
      <c r="D132" t="s">
        <v>207</v>
      </c>
      <c r="E132" s="2">
        <v>45714</v>
      </c>
      <c r="F132" s="2" cm="1">
        <f t="array" ref="F132">_xlfn.IFS(B132="Owner Surrender",E132,B132="Stray",E132+6,B132="Stray w/identification",E132+11,B132="Bite",E132+10,B132="Other",E132+30,B132="BAS",E132+56,B132="Seized",E132)</f>
        <v>45720</v>
      </c>
      <c r="G132" s="2">
        <v>45720</v>
      </c>
      <c r="H132" s="5">
        <f t="shared" si="8"/>
        <v>6</v>
      </c>
      <c r="I132" s="5">
        <f t="shared" si="7"/>
        <v>0</v>
      </c>
      <c r="J132" s="2" t="s">
        <v>31</v>
      </c>
      <c r="K132" s="2" t="s">
        <v>587</v>
      </c>
      <c r="AD132" s="33" t="str">
        <f t="shared" ref="AD132:AD195" si="9">TEXT(G132,"DDDD")</f>
        <v>Tuesday</v>
      </c>
    </row>
    <row r="133" spans="1:30" x14ac:dyDescent="0.2">
      <c r="A133" s="3">
        <v>39750</v>
      </c>
      <c r="B133" s="2" t="s">
        <v>36</v>
      </c>
      <c r="C133" t="s">
        <v>313</v>
      </c>
      <c r="D133" t="s">
        <v>209</v>
      </c>
      <c r="E133" s="2">
        <v>45715</v>
      </c>
      <c r="F133" s="2" cm="1">
        <f t="array" ref="F133">_xlfn.IFS(B133="Owner Surrender",E133,B133="Stray",E133+6,B133="Stray w/identification",E133+11,B133="Bite",E133+10,B133="Other",E133+30,B133="BAS",E133+56,B133="Seized",E133)</f>
        <v>45715</v>
      </c>
      <c r="G133" s="2">
        <v>45722</v>
      </c>
      <c r="H133" s="5">
        <f t="shared" si="8"/>
        <v>7</v>
      </c>
      <c r="I133" s="5">
        <f t="shared" si="7"/>
        <v>7</v>
      </c>
      <c r="J133" s="2" t="s">
        <v>18</v>
      </c>
      <c r="K133" s="2" t="s">
        <v>586</v>
      </c>
      <c r="L133" t="s">
        <v>314</v>
      </c>
      <c r="AD133" s="33" t="str">
        <f t="shared" si="9"/>
        <v>Thursday</v>
      </c>
    </row>
    <row r="134" spans="1:30" x14ac:dyDescent="0.2">
      <c r="A134" s="3">
        <v>39756</v>
      </c>
      <c r="B134" s="2" t="s">
        <v>38</v>
      </c>
      <c r="C134" t="s">
        <v>7</v>
      </c>
      <c r="D134" t="s">
        <v>207</v>
      </c>
      <c r="E134" s="2">
        <v>45715</v>
      </c>
      <c r="F134" s="2" cm="1">
        <f t="array" ref="F134">_xlfn.IFS(B134="Owner Surrender",E134,B134="Stray",E134+6,B134="Stray w/identification",E134+11,B134="Bite",E134+10,B134="Other",E134+30,B134="BAS",E134+56,B134="Seized",E134)</f>
        <v>45721</v>
      </c>
      <c r="G134" s="2">
        <v>45722</v>
      </c>
      <c r="H134" s="5">
        <f t="shared" si="8"/>
        <v>7</v>
      </c>
      <c r="I134" s="5">
        <f t="shared" si="7"/>
        <v>1</v>
      </c>
      <c r="J134" s="2" t="s">
        <v>31</v>
      </c>
      <c r="K134" s="2" t="s">
        <v>587</v>
      </c>
      <c r="AD134" s="33" t="str">
        <f t="shared" si="9"/>
        <v>Thursday</v>
      </c>
    </row>
    <row r="135" spans="1:30" x14ac:dyDescent="0.2">
      <c r="A135" s="3">
        <v>39757</v>
      </c>
      <c r="B135" s="2" t="s">
        <v>38</v>
      </c>
      <c r="C135" t="s">
        <v>7</v>
      </c>
      <c r="D135" t="s">
        <v>209</v>
      </c>
      <c r="E135" s="2">
        <v>45715</v>
      </c>
      <c r="F135" s="2" cm="1">
        <f t="array" ref="F135">_xlfn.IFS(B135="Owner Surrender",E135,B135="Stray",E135+6,B135="Stray w/identification",E135+11,B135="Bite",E135+10,B135="Other",E135+30,B135="BAS",E135+56,B135="Seized",E135)</f>
        <v>45721</v>
      </c>
      <c r="G135" s="2">
        <v>45722</v>
      </c>
      <c r="H135" s="5">
        <f t="shared" si="8"/>
        <v>7</v>
      </c>
      <c r="I135" s="5">
        <f t="shared" si="7"/>
        <v>1</v>
      </c>
      <c r="J135" s="2" t="s">
        <v>31</v>
      </c>
      <c r="K135" s="2" t="s">
        <v>587</v>
      </c>
      <c r="AD135" s="33" t="str">
        <f t="shared" si="9"/>
        <v>Thursday</v>
      </c>
    </row>
    <row r="136" spans="1:30" x14ac:dyDescent="0.2">
      <c r="A136" s="3">
        <v>39758</v>
      </c>
      <c r="B136" s="2" t="s">
        <v>38</v>
      </c>
      <c r="C136" t="s">
        <v>7</v>
      </c>
      <c r="D136" t="s">
        <v>209</v>
      </c>
      <c r="E136" s="2">
        <v>45715</v>
      </c>
      <c r="F136" s="2" cm="1">
        <f t="array" ref="F136">_xlfn.IFS(B136="Owner Surrender",E136,B136="Stray",E136+6,B136="Stray w/identification",E136+11,B136="Bite",E136+10,B136="Other",E136+30,B136="BAS",E136+56,B136="Seized",E136)</f>
        <v>45721</v>
      </c>
      <c r="G136" s="2">
        <v>45722</v>
      </c>
      <c r="H136" s="5">
        <f t="shared" si="8"/>
        <v>7</v>
      </c>
      <c r="I136" s="5">
        <f t="shared" si="7"/>
        <v>1</v>
      </c>
      <c r="J136" s="2" t="s">
        <v>31</v>
      </c>
      <c r="K136" s="2" t="s">
        <v>587</v>
      </c>
      <c r="AD136" s="33" t="str">
        <f t="shared" si="9"/>
        <v>Thursday</v>
      </c>
    </row>
    <row r="137" spans="1:30" x14ac:dyDescent="0.2">
      <c r="A137" s="3">
        <v>39759</v>
      </c>
      <c r="B137" s="2" t="s">
        <v>36</v>
      </c>
      <c r="C137" t="s">
        <v>10</v>
      </c>
      <c r="D137" t="s">
        <v>207</v>
      </c>
      <c r="E137" s="2">
        <v>45716</v>
      </c>
      <c r="F137" s="2" cm="1">
        <f t="array" ref="F137">_xlfn.IFS(B137="Owner Surrender",E137,B137="Stray",E137+6,B137="Stray w/identification",E137+11,B137="Bite",E137+10,B137="Other",E137+30,B137="BAS",E137+56,B137="Seized",E137)</f>
        <v>45716</v>
      </c>
      <c r="G137" s="2">
        <v>45721</v>
      </c>
      <c r="H137" s="5">
        <f t="shared" si="8"/>
        <v>5</v>
      </c>
      <c r="I137" s="5">
        <f t="shared" si="7"/>
        <v>5</v>
      </c>
      <c r="J137" s="2" t="s">
        <v>31</v>
      </c>
      <c r="K137" s="2" t="s">
        <v>587</v>
      </c>
      <c r="AD137" s="33" t="str">
        <f t="shared" si="9"/>
        <v>Wednesday</v>
      </c>
    </row>
    <row r="138" spans="1:30" x14ac:dyDescent="0.2">
      <c r="A138" s="3">
        <v>39766</v>
      </c>
      <c r="B138" s="2" t="s">
        <v>36</v>
      </c>
      <c r="C138" t="s">
        <v>7</v>
      </c>
      <c r="D138" t="s">
        <v>207</v>
      </c>
      <c r="E138" s="2">
        <v>45716</v>
      </c>
      <c r="F138" s="2" cm="1">
        <f t="array" ref="F138">_xlfn.IFS(B138="Owner Surrender",E138,B138="Stray",E138+6,B138="Stray w/identification",E138+11,B138="Bite",E138+10,B138="Other",E138+30,B138="BAS",E138+56,B138="Seized",E138)</f>
        <v>45716</v>
      </c>
      <c r="G138" s="2">
        <v>45726</v>
      </c>
      <c r="H138" s="5">
        <f t="shared" si="8"/>
        <v>10</v>
      </c>
      <c r="I138" s="5">
        <f t="shared" si="7"/>
        <v>10</v>
      </c>
      <c r="J138" s="2" t="s">
        <v>31</v>
      </c>
      <c r="K138" s="2" t="s">
        <v>587</v>
      </c>
      <c r="AD138" s="33" t="str">
        <f t="shared" si="9"/>
        <v>Monday</v>
      </c>
    </row>
    <row r="139" spans="1:30" x14ac:dyDescent="0.2">
      <c r="A139" s="3">
        <v>39767</v>
      </c>
      <c r="B139" s="2" t="s">
        <v>36</v>
      </c>
      <c r="C139" t="s">
        <v>7</v>
      </c>
      <c r="D139" t="s">
        <v>210</v>
      </c>
      <c r="E139" s="2">
        <v>45716</v>
      </c>
      <c r="F139" s="2" cm="1">
        <f t="array" ref="F139">_xlfn.IFS(B139="Owner Surrender",E139,B139="Stray",E139+6,B139="Stray w/identification",E139+11,B139="Bite",E139+10,B139="Other",E139+30,B139="BAS",E139+56,B139="Seized",E139)</f>
        <v>45716</v>
      </c>
      <c r="G139" s="2">
        <v>45730</v>
      </c>
      <c r="H139" s="5">
        <f t="shared" si="8"/>
        <v>14</v>
      </c>
      <c r="I139" s="5">
        <f t="shared" si="7"/>
        <v>14</v>
      </c>
      <c r="J139" s="2" t="s">
        <v>31</v>
      </c>
      <c r="K139" s="2" t="s">
        <v>587</v>
      </c>
      <c r="L139" t="s">
        <v>96</v>
      </c>
      <c r="AD139" s="33" t="str">
        <f t="shared" si="9"/>
        <v>Friday</v>
      </c>
    </row>
    <row r="140" spans="1:30" x14ac:dyDescent="0.2">
      <c r="A140" s="3">
        <v>39768</v>
      </c>
      <c r="B140" s="2" t="s">
        <v>38</v>
      </c>
      <c r="C140" t="s">
        <v>7</v>
      </c>
      <c r="D140" t="s">
        <v>207</v>
      </c>
      <c r="E140" s="2">
        <v>45717</v>
      </c>
      <c r="F140" s="2" cm="1">
        <f t="array" ref="F140">_xlfn.IFS(B140="Owner Surrender",E140,B140="Stray",E140+6,B140="Stray w/identification",E140+11,B140="Bite",E140+10,B140="Other",E140+30,B140="BAS",E140+56,B140="Seized",E140)</f>
        <v>45723</v>
      </c>
      <c r="G140" s="2">
        <v>45727</v>
      </c>
      <c r="H140" s="5">
        <f t="shared" si="8"/>
        <v>10</v>
      </c>
      <c r="I140" s="5">
        <f t="shared" si="7"/>
        <v>4</v>
      </c>
      <c r="J140" s="2" t="s">
        <v>31</v>
      </c>
      <c r="K140" s="2" t="s">
        <v>587</v>
      </c>
      <c r="M140" t="s">
        <v>312</v>
      </c>
      <c r="AD140" s="33" t="str">
        <f t="shared" si="9"/>
        <v>Tuesday</v>
      </c>
    </row>
    <row r="141" spans="1:30" x14ac:dyDescent="0.2">
      <c r="A141" s="3">
        <v>39770</v>
      </c>
      <c r="B141" s="2" t="s">
        <v>36</v>
      </c>
      <c r="C141" t="s">
        <v>10</v>
      </c>
      <c r="D141" t="s">
        <v>207</v>
      </c>
      <c r="E141" s="2">
        <v>45717</v>
      </c>
      <c r="F141" s="2" cm="1">
        <f t="array" ref="F141">_xlfn.IFS(B141="Owner Surrender",E141,B141="Stray",E141+6,B141="Stray w/identification",E141+11,B141="Bite",E141+10,B141="Other",E141+30,B141="BAS",E141+56,B141="Seized",E141)</f>
        <v>45717</v>
      </c>
      <c r="G141" s="2">
        <v>45719</v>
      </c>
      <c r="H141" s="5">
        <f t="shared" si="8"/>
        <v>2</v>
      </c>
      <c r="I141" s="5">
        <f t="shared" si="7"/>
        <v>2</v>
      </c>
      <c r="J141" s="2" t="s">
        <v>31</v>
      </c>
      <c r="K141" s="2" t="s">
        <v>587</v>
      </c>
      <c r="L141" t="s">
        <v>311</v>
      </c>
      <c r="AD141" s="33" t="str">
        <f t="shared" si="9"/>
        <v>Monday</v>
      </c>
    </row>
    <row r="142" spans="1:30" x14ac:dyDescent="0.2">
      <c r="A142" s="3">
        <v>39771</v>
      </c>
      <c r="B142" s="2" t="s">
        <v>36</v>
      </c>
      <c r="C142" t="s">
        <v>7</v>
      </c>
      <c r="D142" t="s">
        <v>207</v>
      </c>
      <c r="E142" s="2">
        <v>45717</v>
      </c>
      <c r="F142" s="2" cm="1">
        <f t="array" ref="F142">_xlfn.IFS(B142="Owner Surrender",E142,B142="Stray",E142+6,B142="Stray w/identification",E142+11,B142="Bite",E142+10,B142="Other",E142+30,B142="BAS",E142+56,B142="Seized",E142)</f>
        <v>45717</v>
      </c>
      <c r="G142" s="2">
        <v>45719</v>
      </c>
      <c r="H142" s="5">
        <f t="shared" si="8"/>
        <v>2</v>
      </c>
      <c r="I142" s="5">
        <f t="shared" si="7"/>
        <v>2</v>
      </c>
      <c r="J142" s="2" t="s">
        <v>31</v>
      </c>
      <c r="K142" s="2" t="s">
        <v>587</v>
      </c>
      <c r="AD142" s="33" t="str">
        <f t="shared" si="9"/>
        <v>Monday</v>
      </c>
    </row>
    <row r="143" spans="1:30" x14ac:dyDescent="0.2">
      <c r="A143" s="3">
        <v>39786</v>
      </c>
      <c r="B143" s="2" t="s">
        <v>36</v>
      </c>
      <c r="C143" t="s">
        <v>10</v>
      </c>
      <c r="D143" t="s">
        <v>207</v>
      </c>
      <c r="E143" s="2">
        <v>45719</v>
      </c>
      <c r="F143" s="2" cm="1">
        <f t="array" ref="F143">_xlfn.IFS(B143="Owner Surrender",E143,B143="Stray",E143+6,B143="Stray w/identification",E143+11,B143="Bite",E143+10,B143="Other",E143+30,B143="BAS",E143+56,B143="Seized",E143)</f>
        <v>45719</v>
      </c>
      <c r="G143" s="2">
        <v>45720</v>
      </c>
      <c r="H143" s="5">
        <f t="shared" si="8"/>
        <v>1</v>
      </c>
      <c r="I143" s="5">
        <f t="shared" si="7"/>
        <v>1</v>
      </c>
      <c r="J143" s="2" t="s">
        <v>31</v>
      </c>
      <c r="K143" s="2" t="s">
        <v>587</v>
      </c>
      <c r="L143" t="s">
        <v>310</v>
      </c>
      <c r="AD143" s="33" t="str">
        <f t="shared" si="9"/>
        <v>Tuesday</v>
      </c>
    </row>
    <row r="144" spans="1:30" x14ac:dyDescent="0.2">
      <c r="A144" s="3">
        <v>39787</v>
      </c>
      <c r="B144" s="2" t="s">
        <v>36</v>
      </c>
      <c r="C144" t="s">
        <v>10</v>
      </c>
      <c r="D144" t="s">
        <v>209</v>
      </c>
      <c r="E144" s="2">
        <v>45719</v>
      </c>
      <c r="F144" s="2" cm="1">
        <f t="array" ref="F144">_xlfn.IFS(B144="Owner Surrender",E144,B144="Stray",E144+6,B144="Stray w/identification",E144+11,B144="Bite",E144+10,B144="Other",E144+30,B144="BAS",E144+56,B144="Seized",E144)</f>
        <v>45719</v>
      </c>
      <c r="G144" s="2">
        <v>45719</v>
      </c>
      <c r="H144" s="5">
        <f t="shared" si="8"/>
        <v>0</v>
      </c>
      <c r="I144" s="5">
        <f t="shared" si="7"/>
        <v>0</v>
      </c>
      <c r="J144" s="2" t="s">
        <v>18</v>
      </c>
      <c r="K144" s="2" t="s">
        <v>586</v>
      </c>
      <c r="AD144" s="33" t="str">
        <f t="shared" si="9"/>
        <v>Monday</v>
      </c>
    </row>
    <row r="145" spans="1:30" x14ac:dyDescent="0.2">
      <c r="A145" s="3">
        <v>39788</v>
      </c>
      <c r="B145" s="2" t="s">
        <v>38</v>
      </c>
      <c r="C145" t="s">
        <v>10</v>
      </c>
      <c r="D145" t="s">
        <v>207</v>
      </c>
      <c r="E145" s="2">
        <v>45712</v>
      </c>
      <c r="F145" s="2" cm="1">
        <f t="array" ref="F145">_xlfn.IFS(B145="Owner Surrender",E145,B145="Stray",E145+6,B145="Stray w/identification",E145+11,B145="Bite",E145+10,B145="Other",E145+30,B145="BAS",E145+56,B145="Seized",E145)</f>
        <v>45718</v>
      </c>
      <c r="G145" s="2">
        <v>45720</v>
      </c>
      <c r="H145" s="5">
        <f t="shared" si="8"/>
        <v>8</v>
      </c>
      <c r="I145" s="5">
        <f t="shared" si="7"/>
        <v>2</v>
      </c>
      <c r="J145" s="2" t="s">
        <v>31</v>
      </c>
      <c r="K145" s="2" t="s">
        <v>587</v>
      </c>
      <c r="M145" t="s">
        <v>287</v>
      </c>
      <c r="AD145" s="33" t="str">
        <f t="shared" si="9"/>
        <v>Tuesday</v>
      </c>
    </row>
    <row r="146" spans="1:30" x14ac:dyDescent="0.2">
      <c r="A146" s="3">
        <v>39790</v>
      </c>
      <c r="B146" s="2" t="s">
        <v>36</v>
      </c>
      <c r="C146" t="s">
        <v>7</v>
      </c>
      <c r="D146" t="s">
        <v>209</v>
      </c>
      <c r="E146" s="2">
        <v>45719</v>
      </c>
      <c r="F146" s="2" cm="1">
        <f t="array" ref="F146">_xlfn.IFS(B146="Owner Surrender",E146,B146="Stray",E146+6,B146="Stray w/identification",E146+11,B146="Bite",E146+10,B146="Other",E146+30,B146="BAS",E146+56,B146="Seized",E146)</f>
        <v>45719</v>
      </c>
      <c r="G146" s="2">
        <v>45721</v>
      </c>
      <c r="H146" s="5">
        <f t="shared" si="8"/>
        <v>2</v>
      </c>
      <c r="I146" s="5">
        <f t="shared" si="7"/>
        <v>2</v>
      </c>
      <c r="J146" s="2" t="s">
        <v>31</v>
      </c>
      <c r="K146" s="2" t="s">
        <v>587</v>
      </c>
      <c r="M146" s="2"/>
      <c r="AD146" s="33" t="str">
        <f t="shared" si="9"/>
        <v>Wednesday</v>
      </c>
    </row>
    <row r="147" spans="1:30" x14ac:dyDescent="0.2">
      <c r="A147" s="3">
        <v>39791</v>
      </c>
      <c r="B147" s="2" t="s">
        <v>36</v>
      </c>
      <c r="C147" t="s">
        <v>7</v>
      </c>
      <c r="D147" t="s">
        <v>209</v>
      </c>
      <c r="E147" s="2">
        <v>45719</v>
      </c>
      <c r="F147" s="2" cm="1">
        <f t="array" ref="F147">_xlfn.IFS(B147="Owner Surrender",E147,B147="Stray",E147+6,B147="Stray w/identification",E147+11,B147="Bite",E147+10,B147="Other",E147+30,B147="BAS",E147+56,B147="Seized",E147)</f>
        <v>45719</v>
      </c>
      <c r="G147" s="2">
        <v>45721</v>
      </c>
      <c r="H147" s="5">
        <f t="shared" si="8"/>
        <v>2</v>
      </c>
      <c r="I147" s="5">
        <f t="shared" si="7"/>
        <v>2</v>
      </c>
      <c r="J147" s="2" t="s">
        <v>31</v>
      </c>
      <c r="K147" s="2" t="s">
        <v>587</v>
      </c>
      <c r="AD147" s="33" t="str">
        <f t="shared" si="9"/>
        <v>Wednesday</v>
      </c>
    </row>
    <row r="148" spans="1:30" x14ac:dyDescent="0.2">
      <c r="A148" s="3">
        <v>39792</v>
      </c>
      <c r="B148" s="2" t="s">
        <v>36</v>
      </c>
      <c r="C148" t="s">
        <v>7</v>
      </c>
      <c r="D148" t="s">
        <v>209</v>
      </c>
      <c r="E148" s="2">
        <v>45719</v>
      </c>
      <c r="F148" s="2" cm="1">
        <f t="array" ref="F148">_xlfn.IFS(B148="Owner Surrender",E148,B148="Stray",E148+6,B148="Stray w/identification",E148+11,B148="Bite",E148+10,B148="Other",E148+30,B148="BAS",E148+56,B148="Seized",E148)</f>
        <v>45719</v>
      </c>
      <c r="G148" s="2">
        <v>45724</v>
      </c>
      <c r="H148" s="5">
        <f t="shared" si="8"/>
        <v>5</v>
      </c>
      <c r="I148" s="5">
        <f t="shared" si="7"/>
        <v>5</v>
      </c>
      <c r="J148" s="2" t="s">
        <v>31</v>
      </c>
      <c r="K148" s="2" t="s">
        <v>587</v>
      </c>
      <c r="AD148" s="33" t="str">
        <f t="shared" si="9"/>
        <v>Saturday</v>
      </c>
    </row>
    <row r="149" spans="1:30" x14ac:dyDescent="0.2">
      <c r="A149" s="3">
        <v>39801</v>
      </c>
      <c r="B149" s="2" t="s">
        <v>36</v>
      </c>
      <c r="C149" t="s">
        <v>7</v>
      </c>
      <c r="D149" t="s">
        <v>209</v>
      </c>
      <c r="E149" s="2">
        <v>45720</v>
      </c>
      <c r="F149" s="2" cm="1">
        <f t="array" ref="F149">_xlfn.IFS(B149="Owner Surrender",E149,B149="Stray",E149+6,B149="Stray w/identification",E149+11,B149="Bite",E149+10,B149="Other",E149+30,B149="BAS",E149+56,B149="Seized",E149)</f>
        <v>45720</v>
      </c>
      <c r="G149" s="2">
        <v>45722</v>
      </c>
      <c r="H149" s="5">
        <f t="shared" si="8"/>
        <v>2</v>
      </c>
      <c r="I149" s="5">
        <f t="shared" si="7"/>
        <v>2</v>
      </c>
      <c r="J149" s="2" t="s">
        <v>18</v>
      </c>
      <c r="K149" s="2" t="s">
        <v>586</v>
      </c>
      <c r="L149" s="2" t="s">
        <v>309</v>
      </c>
      <c r="M149" s="2"/>
      <c r="AD149" s="33" t="str">
        <f t="shared" si="9"/>
        <v>Thursday</v>
      </c>
    </row>
    <row r="150" spans="1:30" x14ac:dyDescent="0.2">
      <c r="A150" s="3">
        <v>39802</v>
      </c>
      <c r="B150" s="2" t="s">
        <v>36</v>
      </c>
      <c r="C150" t="s">
        <v>7</v>
      </c>
      <c r="D150" t="s">
        <v>208</v>
      </c>
      <c r="E150" s="2">
        <v>45720</v>
      </c>
      <c r="F150" s="2" cm="1">
        <f t="array" ref="F150">_xlfn.IFS(B150="Owner Surrender",E150,B150="Stray",E150+6,B150="Stray w/identification",E150+11,B150="Bite",E150+10,B150="Other",E150+30,B150="BAS",E150+56,B150="Seized",E150)</f>
        <v>45720</v>
      </c>
      <c r="G150" s="2">
        <v>45722</v>
      </c>
      <c r="H150" s="5">
        <f t="shared" si="8"/>
        <v>2</v>
      </c>
      <c r="I150" s="5">
        <f t="shared" si="7"/>
        <v>2</v>
      </c>
      <c r="J150" s="2" t="s">
        <v>18</v>
      </c>
      <c r="K150" s="2" t="s">
        <v>586</v>
      </c>
      <c r="L150" t="s">
        <v>308</v>
      </c>
      <c r="AD150" s="33" t="str">
        <f t="shared" si="9"/>
        <v>Thursday</v>
      </c>
    </row>
    <row r="151" spans="1:30" x14ac:dyDescent="0.2">
      <c r="A151" s="3">
        <v>39803</v>
      </c>
      <c r="B151" s="2" t="s">
        <v>36</v>
      </c>
      <c r="C151" t="s">
        <v>7</v>
      </c>
      <c r="D151" t="s">
        <v>207</v>
      </c>
      <c r="E151" s="2">
        <v>45720</v>
      </c>
      <c r="F151" s="2" cm="1">
        <f t="array" ref="F151">_xlfn.IFS(B151="Owner Surrender",E151,B151="Stray",E151+6,B151="Stray w/identification",E151+11,B151="Bite",E151+10,B151="Other",E151+30,B151="BAS",E151+56,B151="Seized",E151)</f>
        <v>45720</v>
      </c>
      <c r="G151" s="2">
        <v>45726</v>
      </c>
      <c r="H151" s="5">
        <f t="shared" si="8"/>
        <v>6</v>
      </c>
      <c r="I151" s="5">
        <f t="shared" si="7"/>
        <v>6</v>
      </c>
      <c r="J151" s="2" t="s">
        <v>31</v>
      </c>
      <c r="K151" s="2" t="s">
        <v>587</v>
      </c>
      <c r="L151" t="s">
        <v>307</v>
      </c>
      <c r="AD151" s="33" t="str">
        <f t="shared" si="9"/>
        <v>Monday</v>
      </c>
    </row>
    <row r="152" spans="1:30" x14ac:dyDescent="0.2">
      <c r="A152" s="3">
        <v>39804</v>
      </c>
      <c r="B152" s="2" t="s">
        <v>36</v>
      </c>
      <c r="C152" t="s">
        <v>7</v>
      </c>
      <c r="D152" t="s">
        <v>207</v>
      </c>
      <c r="E152" s="2">
        <v>45720</v>
      </c>
      <c r="F152" s="2" cm="1">
        <f t="array" ref="F152">_xlfn.IFS(B152="Owner Surrender",E152,B152="Stray",E152+6,B152="Stray w/identification",E152+11,B152="Bite",E152+10,B152="Other",E152+30,B152="BAS",E152+56,B152="Seized",E152)</f>
        <v>45720</v>
      </c>
      <c r="G152" s="2">
        <v>45737</v>
      </c>
      <c r="H152" s="5">
        <f t="shared" si="8"/>
        <v>17</v>
      </c>
      <c r="I152" s="5">
        <f t="shared" si="7"/>
        <v>17</v>
      </c>
      <c r="J152" s="2" t="s">
        <v>31</v>
      </c>
      <c r="K152" s="2" t="s">
        <v>587</v>
      </c>
      <c r="L152" t="s">
        <v>306</v>
      </c>
      <c r="AD152" s="33" t="str">
        <f t="shared" si="9"/>
        <v>Friday</v>
      </c>
    </row>
    <row r="153" spans="1:30" x14ac:dyDescent="0.2">
      <c r="A153" s="3">
        <v>39805</v>
      </c>
      <c r="B153" s="2" t="s">
        <v>38</v>
      </c>
      <c r="C153" t="s">
        <v>10</v>
      </c>
      <c r="D153" t="s">
        <v>209</v>
      </c>
      <c r="E153" s="2">
        <v>45720</v>
      </c>
      <c r="F153" s="2" cm="1">
        <f t="array" ref="F153">_xlfn.IFS(B153="Owner Surrender",E153,B153="Stray",E153+6,B153="Stray w/identification",E153+11,B153="Bite",E153+10,B153="Other",E153+30,B153="BAS",E153+56,B153="Seized",E153)</f>
        <v>45726</v>
      </c>
      <c r="G153" s="2">
        <v>45737</v>
      </c>
      <c r="H153" s="5">
        <f t="shared" si="8"/>
        <v>17</v>
      </c>
      <c r="I153" s="5">
        <f t="shared" si="7"/>
        <v>11</v>
      </c>
      <c r="J153" s="2" t="s">
        <v>31</v>
      </c>
      <c r="K153" s="2" t="s">
        <v>587</v>
      </c>
      <c r="L153" s="2" t="s">
        <v>305</v>
      </c>
      <c r="AD153" s="33" t="str">
        <f t="shared" si="9"/>
        <v>Friday</v>
      </c>
    </row>
    <row r="154" spans="1:30" x14ac:dyDescent="0.2">
      <c r="A154" s="3">
        <v>39806</v>
      </c>
      <c r="B154" s="2" t="s">
        <v>38</v>
      </c>
      <c r="C154" t="s">
        <v>7</v>
      </c>
      <c r="D154" t="s">
        <v>208</v>
      </c>
      <c r="E154" s="2">
        <v>45720</v>
      </c>
      <c r="F154" s="2" cm="1">
        <f t="array" ref="F154">_xlfn.IFS(B154="Owner Surrender",E154,B154="Stray",E154+6,B154="Stray w/identification",E154+11,B154="Bite",E154+10,B154="Other",E154+30,B154="BAS",E154+56,B154="Seized",E154)</f>
        <v>45726</v>
      </c>
      <c r="G154" s="2">
        <v>45727</v>
      </c>
      <c r="H154" s="5">
        <f t="shared" si="8"/>
        <v>7</v>
      </c>
      <c r="I154" s="5">
        <f t="shared" ref="I154:I217" si="10">G154-F154</f>
        <v>1</v>
      </c>
      <c r="J154" s="2" t="s">
        <v>31</v>
      </c>
      <c r="K154" s="2" t="s">
        <v>587</v>
      </c>
      <c r="L154" s="2"/>
      <c r="M154" s="2"/>
      <c r="AD154" s="33" t="str">
        <f t="shared" si="9"/>
        <v>Tuesday</v>
      </c>
    </row>
    <row r="155" spans="1:30" x14ac:dyDescent="0.2">
      <c r="A155" s="3">
        <v>39807</v>
      </c>
      <c r="B155" s="2" t="s">
        <v>38</v>
      </c>
      <c r="C155" t="s">
        <v>7</v>
      </c>
      <c r="D155" t="s">
        <v>207</v>
      </c>
      <c r="E155" s="2">
        <v>45720</v>
      </c>
      <c r="F155" s="2" cm="1">
        <f t="array" ref="F155">_xlfn.IFS(B155="Owner Surrender",E155,B155="Stray",E155+6,B155="Stray w/identification",E155+11,B155="Bite",E155+10,B155="Other",E155+30,B155="BAS",E155+56,B155="Seized",E155)</f>
        <v>45726</v>
      </c>
      <c r="G155" s="2">
        <v>45727</v>
      </c>
      <c r="H155" s="5">
        <f t="shared" si="8"/>
        <v>7</v>
      </c>
      <c r="I155" s="5">
        <f t="shared" si="10"/>
        <v>1</v>
      </c>
      <c r="J155" s="2" t="s">
        <v>31</v>
      </c>
      <c r="K155" s="2" t="s">
        <v>588</v>
      </c>
      <c r="M155" t="s">
        <v>304</v>
      </c>
      <c r="AD155" s="33" t="str">
        <f t="shared" si="9"/>
        <v>Tuesday</v>
      </c>
    </row>
    <row r="156" spans="1:30" x14ac:dyDescent="0.2">
      <c r="A156" s="3">
        <v>39808</v>
      </c>
      <c r="B156" s="2" t="s">
        <v>38</v>
      </c>
      <c r="C156" t="s">
        <v>10</v>
      </c>
      <c r="D156" t="s">
        <v>207</v>
      </c>
      <c r="E156" s="2">
        <v>45721</v>
      </c>
      <c r="F156" s="2" cm="1">
        <f t="array" ref="F156">_xlfn.IFS(B156="Owner Surrender",E156,B156="Stray",E156+6,B156="Stray w/identification",E156+11,B156="Bite",E156+10,B156="Other",E156+30,B156="BAS",E156+56,B156="Seized",E156)</f>
        <v>45727</v>
      </c>
      <c r="G156" s="2">
        <v>45727</v>
      </c>
      <c r="H156" s="5">
        <f t="shared" si="8"/>
        <v>6</v>
      </c>
      <c r="I156" s="5">
        <f t="shared" si="10"/>
        <v>0</v>
      </c>
      <c r="J156" s="2" t="s">
        <v>31</v>
      </c>
      <c r="K156" s="2" t="s">
        <v>587</v>
      </c>
      <c r="M156" t="s">
        <v>34</v>
      </c>
      <c r="AD156" s="33" t="str">
        <f t="shared" si="9"/>
        <v>Tuesday</v>
      </c>
    </row>
    <row r="157" spans="1:30" x14ac:dyDescent="0.2">
      <c r="A157" s="3">
        <v>39809</v>
      </c>
      <c r="B157" s="2" t="s">
        <v>38</v>
      </c>
      <c r="C157" t="s">
        <v>10</v>
      </c>
      <c r="D157" t="s">
        <v>207</v>
      </c>
      <c r="E157" s="2">
        <v>45721</v>
      </c>
      <c r="F157" s="2" cm="1">
        <f t="array" ref="F157">_xlfn.IFS(B157="Owner Surrender",E157,B157="Stray",E157+6,B157="Stray w/identification",E157+11,B157="Bite",E157+10,B157="Other",E157+30,B157="BAS",E157+56,B157="Seized",E157)</f>
        <v>45727</v>
      </c>
      <c r="G157" s="2">
        <v>45734</v>
      </c>
      <c r="H157" s="5">
        <f t="shared" si="8"/>
        <v>13</v>
      </c>
      <c r="I157" s="5">
        <f t="shared" si="10"/>
        <v>7</v>
      </c>
      <c r="J157" s="2" t="s">
        <v>31</v>
      </c>
      <c r="K157" s="2" t="s">
        <v>587</v>
      </c>
      <c r="M157" t="s">
        <v>34</v>
      </c>
      <c r="AD157" s="33" t="str">
        <f t="shared" si="9"/>
        <v>Tuesday</v>
      </c>
    </row>
    <row r="158" spans="1:30" x14ac:dyDescent="0.2">
      <c r="A158" s="3">
        <v>39810</v>
      </c>
      <c r="B158" s="2" t="s">
        <v>36</v>
      </c>
      <c r="C158" t="s">
        <v>7</v>
      </c>
      <c r="D158" t="s">
        <v>207</v>
      </c>
      <c r="E158" s="2">
        <v>45721</v>
      </c>
      <c r="F158" s="2" cm="1">
        <f t="array" ref="F158">_xlfn.IFS(B158="Owner Surrender",E158,B158="Stray",E158+6,B158="Stray w/identification",E158+11,B158="Bite",E158+10,B158="Other",E158+30,B158="BAS",E158+56,B158="Seized",E158)</f>
        <v>45721</v>
      </c>
      <c r="G158" s="2">
        <v>45735</v>
      </c>
      <c r="H158" s="5">
        <f t="shared" si="8"/>
        <v>14</v>
      </c>
      <c r="I158" s="5">
        <f t="shared" si="10"/>
        <v>14</v>
      </c>
      <c r="J158" s="2" t="s">
        <v>11</v>
      </c>
      <c r="K158" s="2" t="s">
        <v>586</v>
      </c>
      <c r="L158" t="s">
        <v>303</v>
      </c>
      <c r="M158" s="2"/>
      <c r="AD158" s="33" t="str">
        <f t="shared" si="9"/>
        <v>Wednesday</v>
      </c>
    </row>
    <row r="159" spans="1:30" x14ac:dyDescent="0.2">
      <c r="A159" s="3">
        <v>39814</v>
      </c>
      <c r="B159" s="2" t="s">
        <v>36</v>
      </c>
      <c r="C159" t="s">
        <v>7</v>
      </c>
      <c r="D159" t="s">
        <v>207</v>
      </c>
      <c r="E159" s="2">
        <v>45722</v>
      </c>
      <c r="F159" s="2" cm="1">
        <f t="array" ref="F159">_xlfn.IFS(B159="Owner Surrender",E159,B159="Stray",E159+6,B159="Stray w/identification",E159+11,B159="Bite",E159+10,B159="Other",E159+30,B159="BAS",E159+56,B159="Seized",E159)</f>
        <v>45722</v>
      </c>
      <c r="G159" s="2">
        <v>45737</v>
      </c>
      <c r="H159" s="5">
        <f t="shared" si="8"/>
        <v>15</v>
      </c>
      <c r="I159" s="5">
        <f t="shared" si="10"/>
        <v>15</v>
      </c>
      <c r="J159" s="2" t="s">
        <v>18</v>
      </c>
      <c r="K159" s="2" t="s">
        <v>586</v>
      </c>
      <c r="L159" t="s">
        <v>302</v>
      </c>
      <c r="AD159" s="33" t="str">
        <f t="shared" si="9"/>
        <v>Friday</v>
      </c>
    </row>
    <row r="160" spans="1:30" x14ac:dyDescent="0.2">
      <c r="A160" s="3">
        <v>39815</v>
      </c>
      <c r="B160" s="2" t="s">
        <v>38</v>
      </c>
      <c r="C160" t="s">
        <v>7</v>
      </c>
      <c r="D160" t="s">
        <v>208</v>
      </c>
      <c r="E160" s="2">
        <v>45722</v>
      </c>
      <c r="F160" s="2" cm="1">
        <f t="array" ref="F160">_xlfn.IFS(B160="Owner Surrender",E160,B160="Stray",E160+6,B160="Stray w/identification",E160+11,B160="Bite",E160+10,B160="Other",E160+30,B160="BAS",E160+56,B160="Seized",E160)</f>
        <v>45728</v>
      </c>
      <c r="G160" s="2">
        <v>45729</v>
      </c>
      <c r="H160" s="5">
        <f t="shared" si="8"/>
        <v>7</v>
      </c>
      <c r="I160" s="5">
        <f t="shared" si="10"/>
        <v>1</v>
      </c>
      <c r="J160" s="2" t="s">
        <v>11</v>
      </c>
      <c r="K160" s="2" t="s">
        <v>586</v>
      </c>
      <c r="L160" s="2"/>
      <c r="AD160" s="33" t="str">
        <f t="shared" si="9"/>
        <v>Thursday</v>
      </c>
    </row>
    <row r="161" spans="1:30" x14ac:dyDescent="0.2">
      <c r="A161" s="3">
        <v>39824</v>
      </c>
      <c r="B161" s="2" t="s">
        <v>38</v>
      </c>
      <c r="C161" t="s">
        <v>10</v>
      </c>
      <c r="D161" t="s">
        <v>207</v>
      </c>
      <c r="E161" s="2">
        <v>45722</v>
      </c>
      <c r="F161" s="2" cm="1">
        <f t="array" ref="F161">_xlfn.IFS(B161="Owner Surrender",E161,B161="Stray",E161+6,B161="Stray w/identification",E161+11,B161="Bite",E161+10,B161="Other",E161+30,B161="BAS",E161+56,B161="Seized",E161)</f>
        <v>45728</v>
      </c>
      <c r="G161" s="2">
        <v>45729</v>
      </c>
      <c r="H161" s="5">
        <f t="shared" si="8"/>
        <v>7</v>
      </c>
      <c r="I161" s="5">
        <f t="shared" si="10"/>
        <v>1</v>
      </c>
      <c r="J161" s="2" t="s">
        <v>31</v>
      </c>
      <c r="K161" s="2" t="s">
        <v>587</v>
      </c>
      <c r="M161" t="s">
        <v>34</v>
      </c>
      <c r="AD161" s="33" t="str">
        <f t="shared" si="9"/>
        <v>Thursday</v>
      </c>
    </row>
    <row r="162" spans="1:30" x14ac:dyDescent="0.2">
      <c r="A162" s="3">
        <v>39831</v>
      </c>
      <c r="B162" s="2" t="s">
        <v>38</v>
      </c>
      <c r="C162" t="s">
        <v>10</v>
      </c>
      <c r="D162" t="s">
        <v>207</v>
      </c>
      <c r="E162" s="2">
        <v>45723</v>
      </c>
      <c r="F162" s="2" cm="1">
        <f t="array" ref="F162">_xlfn.IFS(B162="Owner Surrender",E162,B162="Stray",E162+6,B162="Stray w/identification",E162+11,B162="Bite",E162+10,B162="Other",E162+30,B162="BAS",E162+56,B162="Seized",E162)</f>
        <v>45729</v>
      </c>
      <c r="G162" s="2">
        <v>45729</v>
      </c>
      <c r="H162" s="5">
        <f t="shared" si="8"/>
        <v>6</v>
      </c>
      <c r="I162" s="5">
        <f t="shared" si="10"/>
        <v>0</v>
      </c>
      <c r="J162" s="2" t="s">
        <v>31</v>
      </c>
      <c r="K162" s="2" t="s">
        <v>587</v>
      </c>
      <c r="M162" t="s">
        <v>34</v>
      </c>
      <c r="AD162" s="33" t="str">
        <f t="shared" si="9"/>
        <v>Thursday</v>
      </c>
    </row>
    <row r="163" spans="1:30" x14ac:dyDescent="0.2">
      <c r="A163" s="3">
        <v>39832</v>
      </c>
      <c r="B163" s="2" t="s">
        <v>38</v>
      </c>
      <c r="C163" t="s">
        <v>10</v>
      </c>
      <c r="D163" t="s">
        <v>207</v>
      </c>
      <c r="E163" s="2">
        <v>45723</v>
      </c>
      <c r="F163" s="2" cm="1">
        <f t="array" ref="F163">_xlfn.IFS(B163="Owner Surrender",E163,B163="Stray",E163+6,B163="Stray w/identification",E163+11,B163="Bite",E163+10,B163="Other",E163+30,B163="BAS",E163+56,B163="Seized",E163)</f>
        <v>45729</v>
      </c>
      <c r="G163" s="2">
        <v>45729</v>
      </c>
      <c r="H163" s="5">
        <f t="shared" si="8"/>
        <v>6</v>
      </c>
      <c r="I163" s="5">
        <f t="shared" si="10"/>
        <v>0</v>
      </c>
      <c r="J163" s="2" t="s">
        <v>31</v>
      </c>
      <c r="K163" s="2" t="s">
        <v>587</v>
      </c>
      <c r="M163" t="s">
        <v>34</v>
      </c>
      <c r="AD163" s="33" t="str">
        <f t="shared" si="9"/>
        <v>Thursday</v>
      </c>
    </row>
    <row r="164" spans="1:30" x14ac:dyDescent="0.2">
      <c r="A164" s="3">
        <v>39833</v>
      </c>
      <c r="B164" s="2" t="s">
        <v>38</v>
      </c>
      <c r="C164" t="s">
        <v>10</v>
      </c>
      <c r="D164" t="s">
        <v>207</v>
      </c>
      <c r="E164" s="2">
        <v>45723</v>
      </c>
      <c r="F164" s="2" cm="1">
        <f t="array" ref="F164">_xlfn.IFS(B164="Owner Surrender",E164,B164="Stray",E164+6,B164="Stray w/identification",E164+11,B164="Bite",E164+10,B164="Other",E164+30,B164="BAS",E164+56,B164="Seized",E164)</f>
        <v>45729</v>
      </c>
      <c r="G164" s="2">
        <v>45729</v>
      </c>
      <c r="H164" s="5">
        <f t="shared" si="8"/>
        <v>6</v>
      </c>
      <c r="I164" s="5">
        <f t="shared" si="10"/>
        <v>0</v>
      </c>
      <c r="J164" s="2" t="s">
        <v>31</v>
      </c>
      <c r="K164" s="2" t="s">
        <v>587</v>
      </c>
      <c r="M164" t="s">
        <v>34</v>
      </c>
      <c r="AD164" s="33" t="str">
        <f t="shared" si="9"/>
        <v>Thursday</v>
      </c>
    </row>
    <row r="165" spans="1:30" x14ac:dyDescent="0.2">
      <c r="A165" s="3">
        <v>39837</v>
      </c>
      <c r="B165" s="2" t="s">
        <v>36</v>
      </c>
      <c r="C165" t="s">
        <v>7</v>
      </c>
      <c r="D165" t="s">
        <v>207</v>
      </c>
      <c r="E165" s="2">
        <v>45723</v>
      </c>
      <c r="F165" s="2" cm="1">
        <f t="array" ref="F165">_xlfn.IFS(B165="Owner Surrender",E165,B165="Stray",E165+6,B165="Stray w/identification",E165+11,B165="Bite",E165+10,B165="Other",E165+30,B165="BAS",E165+56,B165="Seized",E165)</f>
        <v>45723</v>
      </c>
      <c r="G165" s="2">
        <v>45735</v>
      </c>
      <c r="H165" s="5">
        <f t="shared" si="8"/>
        <v>12</v>
      </c>
      <c r="I165" s="5">
        <f t="shared" si="10"/>
        <v>12</v>
      </c>
      <c r="J165" s="2" t="s">
        <v>31</v>
      </c>
      <c r="K165" s="2" t="s">
        <v>587</v>
      </c>
      <c r="AD165" s="33" t="str">
        <f t="shared" si="9"/>
        <v>Wednesday</v>
      </c>
    </row>
    <row r="166" spans="1:30" x14ac:dyDescent="0.2">
      <c r="A166" s="3">
        <v>39840</v>
      </c>
      <c r="B166" s="2" t="s">
        <v>38</v>
      </c>
      <c r="C166" t="s">
        <v>10</v>
      </c>
      <c r="D166" t="s">
        <v>207</v>
      </c>
      <c r="E166" s="2">
        <v>45723</v>
      </c>
      <c r="F166" s="2" cm="1">
        <f t="array" ref="F166">_xlfn.IFS(B166="Owner Surrender",E166,B166="Stray",E166+6,B166="Stray w/identification",E166+11,B166="Bite",E166+10,B166="Other",E166+30,B166="BAS",E166+56,B166="Seized",E166)</f>
        <v>45729</v>
      </c>
      <c r="G166" s="2">
        <v>45735</v>
      </c>
      <c r="H166" s="5">
        <f t="shared" si="8"/>
        <v>12</v>
      </c>
      <c r="I166" s="5">
        <f t="shared" si="10"/>
        <v>6</v>
      </c>
      <c r="J166" s="2" t="s">
        <v>31</v>
      </c>
      <c r="K166" s="2" t="s">
        <v>587</v>
      </c>
      <c r="AD166" s="33" t="str">
        <f t="shared" si="9"/>
        <v>Wednesday</v>
      </c>
    </row>
    <row r="167" spans="1:30" x14ac:dyDescent="0.2">
      <c r="A167" s="3">
        <v>39849</v>
      </c>
      <c r="B167" s="2" t="s">
        <v>38</v>
      </c>
      <c r="C167" t="s">
        <v>7</v>
      </c>
      <c r="D167" t="s">
        <v>208</v>
      </c>
      <c r="E167" s="2">
        <v>45726</v>
      </c>
      <c r="F167" s="2" cm="1">
        <f t="array" ref="F167">_xlfn.IFS(B167="Owner Surrender",E167,B167="Stray",E167+6,B167="Stray w/identification",E167+11,B167="Bite",E167+10,B167="Other",E167+30,B167="BAS",E167+56,B167="Seized",E167)</f>
        <v>45732</v>
      </c>
      <c r="G167" s="2">
        <v>45727</v>
      </c>
      <c r="H167" s="5">
        <f t="shared" ref="H167:H230" si="11">+G167-E167</f>
        <v>1</v>
      </c>
      <c r="I167" s="5">
        <f t="shared" si="10"/>
        <v>-5</v>
      </c>
      <c r="J167" s="2" t="s">
        <v>31</v>
      </c>
      <c r="K167" s="2" t="s">
        <v>143</v>
      </c>
      <c r="M167" t="s">
        <v>301</v>
      </c>
      <c r="AD167" s="33" t="str">
        <f t="shared" si="9"/>
        <v>Tuesday</v>
      </c>
    </row>
    <row r="168" spans="1:30" x14ac:dyDescent="0.2">
      <c r="A168" s="3">
        <v>39850</v>
      </c>
      <c r="B168" s="2" t="s">
        <v>38</v>
      </c>
      <c r="C168" t="s">
        <v>7</v>
      </c>
      <c r="D168" t="s">
        <v>208</v>
      </c>
      <c r="E168" s="2">
        <v>45726</v>
      </c>
      <c r="F168" s="2" cm="1">
        <f t="array" ref="F168">_xlfn.IFS(B168="Owner Surrender",E168,B168="Stray",E168+6,B168="Stray w/identification",E168+11,B168="Bite",E168+10,B168="Other",E168+30,B168="BAS",E168+56,B168="Seized",E168)</f>
        <v>45732</v>
      </c>
      <c r="G168" s="2">
        <v>45726</v>
      </c>
      <c r="H168" s="5">
        <f t="shared" si="11"/>
        <v>0</v>
      </c>
      <c r="I168" s="5">
        <f t="shared" si="10"/>
        <v>-6</v>
      </c>
      <c r="J168" s="2" t="s">
        <v>31</v>
      </c>
      <c r="K168" s="2" t="s">
        <v>143</v>
      </c>
      <c r="M168" t="s">
        <v>301</v>
      </c>
      <c r="AD168" s="33" t="str">
        <f t="shared" si="9"/>
        <v>Monday</v>
      </c>
    </row>
    <row r="169" spans="1:30" x14ac:dyDescent="0.2">
      <c r="A169" s="3">
        <v>39851</v>
      </c>
      <c r="B169" s="2" t="s">
        <v>38</v>
      </c>
      <c r="C169" t="s">
        <v>15</v>
      </c>
      <c r="D169" t="s">
        <v>207</v>
      </c>
      <c r="E169" s="2">
        <v>45727</v>
      </c>
      <c r="F169" s="2" cm="1">
        <f t="array" ref="F169">_xlfn.IFS(B169="Owner Surrender",E169,B169="Stray",E169+6,B169="Stray w/identification",E169+11,B169="Bite",E169+10,B169="Other",E169+30,B169="BAS",E169+56,B169="Seized",E169)</f>
        <v>45733</v>
      </c>
      <c r="G169" s="2">
        <v>45733</v>
      </c>
      <c r="H169" s="5">
        <f t="shared" si="11"/>
        <v>6</v>
      </c>
      <c r="I169" s="5">
        <f t="shared" si="10"/>
        <v>0</v>
      </c>
      <c r="J169" s="2" t="s">
        <v>31</v>
      </c>
      <c r="K169" s="2" t="s">
        <v>587</v>
      </c>
      <c r="AD169" s="33" t="str">
        <f t="shared" si="9"/>
        <v>Monday</v>
      </c>
    </row>
    <row r="170" spans="1:30" x14ac:dyDescent="0.2">
      <c r="A170" s="3">
        <v>39852</v>
      </c>
      <c r="B170" s="2" t="s">
        <v>38</v>
      </c>
      <c r="C170" t="s">
        <v>15</v>
      </c>
      <c r="D170" t="s">
        <v>207</v>
      </c>
      <c r="E170" s="2">
        <v>45727</v>
      </c>
      <c r="F170" s="2" cm="1">
        <f t="array" ref="F170">_xlfn.IFS(B170="Owner Surrender",E170,B170="Stray",E170+6,B170="Stray w/identification",E170+11,B170="Bite",E170+10,B170="Other",E170+30,B170="BAS",E170+56,B170="Seized",E170)</f>
        <v>45733</v>
      </c>
      <c r="G170" s="2">
        <v>45733</v>
      </c>
      <c r="H170" s="5">
        <f t="shared" si="11"/>
        <v>6</v>
      </c>
      <c r="I170" s="5">
        <f t="shared" si="10"/>
        <v>0</v>
      </c>
      <c r="J170" s="2" t="s">
        <v>31</v>
      </c>
      <c r="K170" s="2" t="s">
        <v>587</v>
      </c>
      <c r="M170" t="s">
        <v>34</v>
      </c>
      <c r="AD170" s="33" t="str">
        <f t="shared" si="9"/>
        <v>Monday</v>
      </c>
    </row>
    <row r="171" spans="1:30" x14ac:dyDescent="0.2">
      <c r="A171" s="3">
        <v>39853</v>
      </c>
      <c r="B171" s="2" t="s">
        <v>36</v>
      </c>
      <c r="C171" t="s">
        <v>7</v>
      </c>
      <c r="D171" t="s">
        <v>207</v>
      </c>
      <c r="E171" s="2">
        <v>45727</v>
      </c>
      <c r="F171" s="2" cm="1">
        <f t="array" ref="F171">_xlfn.IFS(B171="Owner Surrender",E171,B171="Stray",E171+6,B171="Stray w/identification",E171+11,B171="Bite",E171+10,B171="Other",E171+30,B171="BAS",E171+56,B171="Seized",E171)</f>
        <v>45727</v>
      </c>
      <c r="G171" s="2">
        <v>45729</v>
      </c>
      <c r="H171" s="5">
        <f t="shared" si="11"/>
        <v>2</v>
      </c>
      <c r="I171" s="5">
        <f t="shared" si="10"/>
        <v>2</v>
      </c>
      <c r="J171" s="2" t="s">
        <v>31</v>
      </c>
      <c r="K171" s="2" t="s">
        <v>587</v>
      </c>
      <c r="AD171" s="33" t="str">
        <f t="shared" si="9"/>
        <v>Thursday</v>
      </c>
    </row>
    <row r="172" spans="1:30" x14ac:dyDescent="0.2">
      <c r="A172" s="3">
        <v>39856</v>
      </c>
      <c r="B172" s="2" t="s">
        <v>36</v>
      </c>
      <c r="C172" t="s">
        <v>7</v>
      </c>
      <c r="D172" t="s">
        <v>207</v>
      </c>
      <c r="E172" s="2">
        <v>45727</v>
      </c>
      <c r="F172" s="2" cm="1">
        <f t="array" ref="F172">_xlfn.IFS(B172="Owner Surrender",E172,B172="Stray",E172+6,B172="Stray w/identification",E172+11,B172="Bite",E172+10,B172="Other",E172+30,B172="BAS",E172+56,B172="Seized",E172)</f>
        <v>45727</v>
      </c>
      <c r="G172" s="2">
        <v>45729</v>
      </c>
      <c r="H172" s="5">
        <f t="shared" si="11"/>
        <v>2</v>
      </c>
      <c r="I172" s="5">
        <f t="shared" si="10"/>
        <v>2</v>
      </c>
      <c r="J172" s="2" t="s">
        <v>31</v>
      </c>
      <c r="K172" s="2" t="s">
        <v>587</v>
      </c>
      <c r="AD172" s="33" t="str">
        <f t="shared" si="9"/>
        <v>Thursday</v>
      </c>
    </row>
    <row r="173" spans="1:30" x14ac:dyDescent="0.2">
      <c r="A173" s="3">
        <v>39857</v>
      </c>
      <c r="B173" s="2" t="s">
        <v>38</v>
      </c>
      <c r="C173" t="s">
        <v>10</v>
      </c>
      <c r="D173" t="s">
        <v>207</v>
      </c>
      <c r="E173" s="2">
        <v>45727</v>
      </c>
      <c r="F173" s="2" cm="1">
        <f t="array" ref="F173">_xlfn.IFS(B173="Owner Surrender",E173,B173="Stray",E173+6,B173="Stray w/identification",E173+11,B173="Bite",E173+10,B173="Other",E173+30,B173="BAS",E173+56,B173="Seized",E173)</f>
        <v>45733</v>
      </c>
      <c r="G173" s="2">
        <v>45733</v>
      </c>
      <c r="H173" s="5">
        <f t="shared" si="11"/>
        <v>6</v>
      </c>
      <c r="I173" s="5">
        <f t="shared" si="10"/>
        <v>0</v>
      </c>
      <c r="J173" s="2" t="s">
        <v>31</v>
      </c>
      <c r="K173" s="2" t="s">
        <v>587</v>
      </c>
      <c r="M173" s="2" t="s">
        <v>34</v>
      </c>
      <c r="AD173" s="33" t="str">
        <f t="shared" si="9"/>
        <v>Monday</v>
      </c>
    </row>
    <row r="174" spans="1:30" x14ac:dyDescent="0.2">
      <c r="A174" s="3">
        <v>39858</v>
      </c>
      <c r="B174" s="2" t="s">
        <v>38</v>
      </c>
      <c r="C174" t="s">
        <v>15</v>
      </c>
      <c r="D174" t="s">
        <v>207</v>
      </c>
      <c r="E174" s="2">
        <v>45727</v>
      </c>
      <c r="F174" s="2" cm="1">
        <f t="array" ref="F174">_xlfn.IFS(B174="Owner Surrender",E174,B174="Stray",E174+6,B174="Stray w/identification",E174+11,B174="Bite",E174+10,B174="Other",E174+30,B174="BAS",E174+56,B174="Seized",E174)</f>
        <v>45733</v>
      </c>
      <c r="G174" s="2">
        <v>45733</v>
      </c>
      <c r="H174" s="5">
        <f t="shared" si="11"/>
        <v>6</v>
      </c>
      <c r="I174" s="5">
        <f t="shared" si="10"/>
        <v>0</v>
      </c>
      <c r="J174" s="2" t="s">
        <v>31</v>
      </c>
      <c r="K174" s="2" t="s">
        <v>587</v>
      </c>
      <c r="M174" s="2" t="s">
        <v>34</v>
      </c>
      <c r="AD174" s="33" t="str">
        <f t="shared" si="9"/>
        <v>Monday</v>
      </c>
    </row>
    <row r="175" spans="1:30" x14ac:dyDescent="0.2">
      <c r="A175" s="3">
        <v>39860</v>
      </c>
      <c r="B175" s="2" t="s">
        <v>179</v>
      </c>
      <c r="C175" t="s">
        <v>10</v>
      </c>
      <c r="D175" t="s">
        <v>207</v>
      </c>
      <c r="E175" s="2">
        <v>45727</v>
      </c>
      <c r="F175" s="2" cm="1">
        <f t="array" ref="F175">_xlfn.IFS(B175="Owner Surrender",E175,B175="Stray",E175+6,B175="Stray w/identification",E175+11,B175="Bite",E175+10,B175="Other",E175+30,B175="BAS",E175+56,B175="Seized",E175)</f>
        <v>45738</v>
      </c>
      <c r="G175" s="2">
        <v>45743</v>
      </c>
      <c r="H175" s="5">
        <f t="shared" si="11"/>
        <v>16</v>
      </c>
      <c r="I175" s="5">
        <f t="shared" si="10"/>
        <v>5</v>
      </c>
      <c r="J175" s="2" t="s">
        <v>31</v>
      </c>
      <c r="K175" s="2" t="s">
        <v>587</v>
      </c>
      <c r="M175" s="2" t="s">
        <v>326</v>
      </c>
      <c r="AD175" s="33" t="str">
        <f t="shared" si="9"/>
        <v>Thursday</v>
      </c>
    </row>
    <row r="176" spans="1:30" x14ac:dyDescent="0.2">
      <c r="A176" s="3">
        <v>39861</v>
      </c>
      <c r="B176" s="2" t="s">
        <v>38</v>
      </c>
      <c r="C176" t="s">
        <v>7</v>
      </c>
      <c r="D176" t="s">
        <v>207</v>
      </c>
      <c r="E176" s="2">
        <v>45727</v>
      </c>
      <c r="F176" s="2" cm="1">
        <f t="array" ref="F176">_xlfn.IFS(B176="Owner Surrender",E176,B176="Stray",E176+6,B176="Stray w/identification",E176+11,B176="Bite",E176+10,B176="Other",E176+30,B176="BAS",E176+56,B176="Seized",E176)</f>
        <v>45733</v>
      </c>
      <c r="G176" s="2">
        <v>45733</v>
      </c>
      <c r="H176" s="5">
        <f t="shared" si="11"/>
        <v>6</v>
      </c>
      <c r="I176" s="5">
        <f t="shared" si="10"/>
        <v>0</v>
      </c>
      <c r="J176" s="2" t="s">
        <v>31</v>
      </c>
      <c r="K176" s="2" t="s">
        <v>587</v>
      </c>
      <c r="L176" s="2"/>
      <c r="M176" t="s">
        <v>34</v>
      </c>
      <c r="AD176" s="33" t="str">
        <f t="shared" si="9"/>
        <v>Monday</v>
      </c>
    </row>
    <row r="177" spans="1:30" x14ac:dyDescent="0.2">
      <c r="A177" s="3">
        <v>39862</v>
      </c>
      <c r="B177" s="2" t="s">
        <v>38</v>
      </c>
      <c r="C177" t="s">
        <v>15</v>
      </c>
      <c r="D177" t="s">
        <v>207</v>
      </c>
      <c r="E177" s="2">
        <v>45728</v>
      </c>
      <c r="F177" s="2" cm="1">
        <f t="array" ref="F177">_xlfn.IFS(B177="Owner Surrender",E177,B177="Stray",E177+6,B177="Stray w/identification",E177+11,B177="Bite",E177+10,B177="Other",E177+30,B177="BAS",E177+56,B177="Seized",E177)</f>
        <v>45734</v>
      </c>
      <c r="G177" s="2">
        <v>45737</v>
      </c>
      <c r="H177" s="5">
        <f t="shared" si="11"/>
        <v>9</v>
      </c>
      <c r="I177" s="5">
        <f t="shared" si="10"/>
        <v>3</v>
      </c>
      <c r="J177" s="2" t="s">
        <v>31</v>
      </c>
      <c r="K177" s="2" t="s">
        <v>587</v>
      </c>
      <c r="M177" s="2"/>
      <c r="AD177" s="33" t="str">
        <f t="shared" si="9"/>
        <v>Friday</v>
      </c>
    </row>
    <row r="178" spans="1:30" x14ac:dyDescent="0.2">
      <c r="A178" s="3">
        <v>39863</v>
      </c>
      <c r="B178" s="2" t="s">
        <v>38</v>
      </c>
      <c r="C178" t="s">
        <v>7</v>
      </c>
      <c r="D178" t="s">
        <v>207</v>
      </c>
      <c r="E178" s="2">
        <v>45728</v>
      </c>
      <c r="F178" s="2" cm="1">
        <f t="array" ref="F178">_xlfn.IFS(B178="Owner Surrender",E178,B178="Stray",E178+6,B178="Stray w/identification",E178+11,B178="Bite",E178+10,B178="Other",E178+30,B178="BAS",E178+56,B178="Seized",E178)</f>
        <v>45734</v>
      </c>
      <c r="H178" s="5">
        <f t="shared" si="11"/>
        <v>-45728</v>
      </c>
      <c r="I178" s="5">
        <f t="shared" si="10"/>
        <v>-45734</v>
      </c>
      <c r="J178" s="2" t="s">
        <v>21</v>
      </c>
      <c r="K178" s="2" t="s">
        <v>586</v>
      </c>
      <c r="L178" t="s">
        <v>325</v>
      </c>
      <c r="AD178" s="33" t="str">
        <f t="shared" si="9"/>
        <v>Saturday</v>
      </c>
    </row>
    <row r="179" spans="1:30" x14ac:dyDescent="0.2">
      <c r="A179" s="3">
        <v>39864</v>
      </c>
      <c r="B179" s="2" t="s">
        <v>38</v>
      </c>
      <c r="C179" t="s">
        <v>7</v>
      </c>
      <c r="D179" t="s">
        <v>207</v>
      </c>
      <c r="E179" s="2">
        <v>45728</v>
      </c>
      <c r="F179" s="2" cm="1">
        <f t="array" ref="F179">_xlfn.IFS(B179="Owner Surrender",E179,B179="Stray",E179+6,B179="Stray w/identification",E179+11,B179="Bite",E179+10,B179="Other",E179+30,B179="BAS",E179+56,B179="Seized",E179)</f>
        <v>45734</v>
      </c>
      <c r="G179" s="2">
        <v>45737</v>
      </c>
      <c r="H179" s="5">
        <f t="shared" si="11"/>
        <v>9</v>
      </c>
      <c r="I179" s="5">
        <f t="shared" si="10"/>
        <v>3</v>
      </c>
      <c r="J179" s="2" t="s">
        <v>11</v>
      </c>
      <c r="K179" s="2" t="s">
        <v>586</v>
      </c>
      <c r="L179" t="s">
        <v>324</v>
      </c>
      <c r="M179" t="s">
        <v>34</v>
      </c>
      <c r="AD179" s="33" t="str">
        <f t="shared" si="9"/>
        <v>Friday</v>
      </c>
    </row>
    <row r="180" spans="1:30" x14ac:dyDescent="0.2">
      <c r="A180" s="3">
        <v>39867</v>
      </c>
      <c r="B180" s="2" t="s">
        <v>38</v>
      </c>
      <c r="C180" t="s">
        <v>7</v>
      </c>
      <c r="D180" t="s">
        <v>207</v>
      </c>
      <c r="E180" s="2">
        <v>45728</v>
      </c>
      <c r="F180" s="2" cm="1">
        <f t="array" ref="F180">_xlfn.IFS(B180="Owner Surrender",E180,B180="Stray",E180+6,B180="Stray w/identification",E180+11,B180="Bite",E180+10,B180="Other",E180+30,B180="BAS",E180+56,B180="Seized",E180)</f>
        <v>45734</v>
      </c>
      <c r="G180" s="2">
        <v>45740</v>
      </c>
      <c r="H180" s="5">
        <f t="shared" si="11"/>
        <v>12</v>
      </c>
      <c r="I180" s="5">
        <f t="shared" si="10"/>
        <v>6</v>
      </c>
      <c r="J180" s="2" t="s">
        <v>18</v>
      </c>
      <c r="K180" s="2" t="s">
        <v>586</v>
      </c>
      <c r="L180" t="s">
        <v>323</v>
      </c>
      <c r="M180" t="s">
        <v>34</v>
      </c>
      <c r="AD180" s="33" t="str">
        <f t="shared" si="9"/>
        <v>Monday</v>
      </c>
    </row>
    <row r="181" spans="1:30" x14ac:dyDescent="0.2">
      <c r="A181" s="3">
        <v>39871</v>
      </c>
      <c r="B181" s="2" t="s">
        <v>38</v>
      </c>
      <c r="C181" t="s">
        <v>7</v>
      </c>
      <c r="D181" t="s">
        <v>207</v>
      </c>
      <c r="E181" s="2">
        <v>45728</v>
      </c>
      <c r="F181" s="2" cm="1">
        <f t="array" ref="F181">_xlfn.IFS(B181="Owner Surrender",E181,B181="Stray",E181+6,B181="Stray w/identification",E181+11,B181="Bite",E181+10,B181="Other",E181+30,B181="BAS",E181+56,B181="Seized",E181)</f>
        <v>45734</v>
      </c>
      <c r="G181" s="2">
        <v>45736</v>
      </c>
      <c r="H181" s="5">
        <f t="shared" si="11"/>
        <v>8</v>
      </c>
      <c r="I181" s="5">
        <f t="shared" si="10"/>
        <v>2</v>
      </c>
      <c r="J181" s="2" t="s">
        <v>31</v>
      </c>
      <c r="K181" s="2" t="s">
        <v>587</v>
      </c>
      <c r="AD181" s="33" t="str">
        <f t="shared" si="9"/>
        <v>Thursday</v>
      </c>
    </row>
    <row r="182" spans="1:30" x14ac:dyDescent="0.2">
      <c r="A182" s="3">
        <v>39876</v>
      </c>
      <c r="B182" s="2" t="s">
        <v>36</v>
      </c>
      <c r="C182" t="s">
        <v>7</v>
      </c>
      <c r="D182" t="s">
        <v>207</v>
      </c>
      <c r="E182" s="2">
        <v>45729</v>
      </c>
      <c r="F182" s="2" cm="1">
        <f t="array" ref="F182">_xlfn.IFS(B182="Owner Surrender",E182,B182="Stray",E182+6,B182="Stray w/identification",E182+11,B182="Bite",E182+10,B182="Other",E182+30,B182="BAS",E182+56,B182="Seized",E182)</f>
        <v>45729</v>
      </c>
      <c r="G182" s="2">
        <v>45733</v>
      </c>
      <c r="H182" s="5">
        <f t="shared" si="11"/>
        <v>4</v>
      </c>
      <c r="I182" s="5">
        <f t="shared" si="10"/>
        <v>4</v>
      </c>
      <c r="J182" s="2" t="s">
        <v>31</v>
      </c>
      <c r="K182" s="2" t="s">
        <v>587</v>
      </c>
      <c r="L182" t="s">
        <v>321</v>
      </c>
      <c r="M182" t="s">
        <v>322</v>
      </c>
      <c r="AD182" s="33" t="str">
        <f t="shared" si="9"/>
        <v>Monday</v>
      </c>
    </row>
    <row r="183" spans="1:30" x14ac:dyDescent="0.2">
      <c r="A183" s="3">
        <v>39878</v>
      </c>
      <c r="B183" s="2" t="s">
        <v>38</v>
      </c>
      <c r="C183" t="s">
        <v>7</v>
      </c>
      <c r="D183" t="s">
        <v>207</v>
      </c>
      <c r="E183" s="2">
        <v>45729</v>
      </c>
      <c r="F183" s="2" cm="1">
        <f t="array" ref="F183">_xlfn.IFS(B183="Owner Surrender",E183,B183="Stray",E183+6,B183="Stray w/identification",E183+11,B183="Bite",E183+10,B183="Other",E183+30,B183="BAS",E183+56,B183="Seized",E183)</f>
        <v>45735</v>
      </c>
      <c r="G183" s="2">
        <v>45742</v>
      </c>
      <c r="H183" s="5">
        <f t="shared" si="11"/>
        <v>13</v>
      </c>
      <c r="I183" s="5">
        <f t="shared" si="10"/>
        <v>7</v>
      </c>
      <c r="J183" s="2" t="s">
        <v>18</v>
      </c>
      <c r="K183" s="2" t="s">
        <v>586</v>
      </c>
      <c r="L183" t="s">
        <v>335</v>
      </c>
      <c r="AD183" s="33" t="str">
        <f t="shared" si="9"/>
        <v>Wednesday</v>
      </c>
    </row>
    <row r="184" spans="1:30" x14ac:dyDescent="0.2">
      <c r="A184" s="3">
        <v>39880</v>
      </c>
      <c r="B184" s="2" t="s">
        <v>38</v>
      </c>
      <c r="C184" t="s">
        <v>7</v>
      </c>
      <c r="D184" t="s">
        <v>207</v>
      </c>
      <c r="E184" s="2">
        <v>45729</v>
      </c>
      <c r="F184" s="2" cm="1">
        <f t="array" ref="F184">_xlfn.IFS(B184="Owner Surrender",E184,B184="Stray",E184+6,B184="Stray w/identification",E184+11,B184="Bite",E184+10,B184="Other",E184+30,B184="BAS",E184+56,B184="Seized",E184)</f>
        <v>45735</v>
      </c>
      <c r="G184" s="2">
        <v>45736</v>
      </c>
      <c r="H184" s="5">
        <f t="shared" si="11"/>
        <v>7</v>
      </c>
      <c r="I184" s="5">
        <f t="shared" si="10"/>
        <v>1</v>
      </c>
      <c r="J184" s="2" t="s">
        <v>31</v>
      </c>
      <c r="K184" s="2" t="s">
        <v>587</v>
      </c>
      <c r="M184" t="s">
        <v>34</v>
      </c>
      <c r="AD184" s="33" t="str">
        <f t="shared" si="9"/>
        <v>Thursday</v>
      </c>
    </row>
    <row r="185" spans="1:30" x14ac:dyDescent="0.2">
      <c r="A185" s="3">
        <v>39887</v>
      </c>
      <c r="B185" s="2" t="s">
        <v>38</v>
      </c>
      <c r="C185" t="s">
        <v>7</v>
      </c>
      <c r="D185" t="s">
        <v>207</v>
      </c>
      <c r="E185" s="2">
        <v>45729</v>
      </c>
      <c r="F185" s="2" cm="1">
        <f t="array" ref="F185">_xlfn.IFS(B185="Owner Surrender",E185,B185="Stray",E185+6,B185="Stray w/identification",E185+11,B185="Bite",E185+10,B185="Other",E185+30,B185="BAS",E185+56,B185="Seized",E185)</f>
        <v>45735</v>
      </c>
      <c r="G185" s="2">
        <v>45740</v>
      </c>
      <c r="H185" s="5">
        <f t="shared" si="11"/>
        <v>11</v>
      </c>
      <c r="I185" s="5">
        <f t="shared" si="10"/>
        <v>5</v>
      </c>
      <c r="J185" s="2" t="s">
        <v>18</v>
      </c>
      <c r="K185" s="2" t="s">
        <v>586</v>
      </c>
      <c r="L185" t="s">
        <v>334</v>
      </c>
      <c r="AD185" s="33" t="str">
        <f t="shared" si="9"/>
        <v>Monday</v>
      </c>
    </row>
    <row r="186" spans="1:30" x14ac:dyDescent="0.2">
      <c r="A186" s="3">
        <v>39888</v>
      </c>
      <c r="B186" s="2" t="s">
        <v>38</v>
      </c>
      <c r="C186" t="s">
        <v>7</v>
      </c>
      <c r="D186" t="s">
        <v>207</v>
      </c>
      <c r="E186" s="2">
        <v>45730</v>
      </c>
      <c r="F186" s="2" cm="1">
        <f t="array" ref="F186">_xlfn.IFS(B186="Owner Surrender",E186,B186="Stray",E186+6,B186="Stray w/identification",E186+11,B186="Bite",E186+10,B186="Other",E186+30,B186="BAS",E186+56,B186="Seized",E186)</f>
        <v>45736</v>
      </c>
      <c r="G186" s="2">
        <v>45740</v>
      </c>
      <c r="H186" s="5">
        <f t="shared" si="11"/>
        <v>10</v>
      </c>
      <c r="I186" s="5">
        <f t="shared" si="10"/>
        <v>4</v>
      </c>
      <c r="J186" s="2" t="s">
        <v>18</v>
      </c>
      <c r="K186" s="2" t="s">
        <v>586</v>
      </c>
      <c r="L186" t="s">
        <v>333</v>
      </c>
      <c r="AD186" s="33" t="str">
        <f t="shared" si="9"/>
        <v>Monday</v>
      </c>
    </row>
    <row r="187" spans="1:30" x14ac:dyDescent="0.2">
      <c r="A187" s="3">
        <v>39890</v>
      </c>
      <c r="B187" s="2" t="s">
        <v>38</v>
      </c>
      <c r="C187" t="s">
        <v>7</v>
      </c>
      <c r="D187" t="s">
        <v>207</v>
      </c>
      <c r="E187" s="2">
        <v>45730</v>
      </c>
      <c r="F187" s="2" cm="1">
        <f t="array" ref="F187">_xlfn.IFS(B187="Owner Surrender",E187,B187="Stray",E187+6,B187="Stray w/identification",E187+11,B187="Bite",E187+10,B187="Other",E187+30,B187="BAS",E187+56,B187="Seized",E187)</f>
        <v>45736</v>
      </c>
      <c r="G187" s="2">
        <v>45737</v>
      </c>
      <c r="H187" s="5">
        <f t="shared" si="11"/>
        <v>7</v>
      </c>
      <c r="I187" s="5">
        <f t="shared" si="10"/>
        <v>1</v>
      </c>
      <c r="J187" s="2" t="s">
        <v>31</v>
      </c>
      <c r="K187" s="2" t="s">
        <v>587</v>
      </c>
      <c r="M187" t="s">
        <v>34</v>
      </c>
      <c r="AD187" s="33" t="str">
        <f t="shared" si="9"/>
        <v>Friday</v>
      </c>
    </row>
    <row r="188" spans="1:30" x14ac:dyDescent="0.2">
      <c r="A188" s="3">
        <v>39892</v>
      </c>
      <c r="B188" s="2" t="s">
        <v>38</v>
      </c>
      <c r="C188" t="s">
        <v>7</v>
      </c>
      <c r="D188" t="s">
        <v>209</v>
      </c>
      <c r="E188" s="2">
        <v>45731</v>
      </c>
      <c r="F188" s="2" cm="1">
        <f t="array" ref="F188">_xlfn.IFS(B188="Owner Surrender",E188,B188="Stray",E188+6,B188="Stray w/identification",E188+11,B188="Bite",E188+10,B188="Other",E188+30,B188="BAS",E188+56,B188="Seized",E188)</f>
        <v>45737</v>
      </c>
      <c r="G188" s="2">
        <v>45737</v>
      </c>
      <c r="H188" s="5">
        <f t="shared" si="11"/>
        <v>6</v>
      </c>
      <c r="I188" s="5">
        <f t="shared" si="10"/>
        <v>0</v>
      </c>
      <c r="J188" s="2" t="s">
        <v>31</v>
      </c>
      <c r="K188" s="2" t="s">
        <v>587</v>
      </c>
      <c r="AD188" s="33" t="str">
        <f t="shared" si="9"/>
        <v>Friday</v>
      </c>
    </row>
    <row r="189" spans="1:30" x14ac:dyDescent="0.2">
      <c r="A189" s="3">
        <v>39893</v>
      </c>
      <c r="B189" s="2" t="s">
        <v>36</v>
      </c>
      <c r="C189" t="s">
        <v>15</v>
      </c>
      <c r="D189" t="s">
        <v>210</v>
      </c>
      <c r="E189" s="2">
        <v>45731</v>
      </c>
      <c r="F189" s="2" cm="1">
        <f t="array" ref="F189">_xlfn.IFS(B189="Owner Surrender",E189,B189="Stray",E189+6,B189="Stray w/identification",E189+11,B189="Bite",E189+10,B189="Other",E189+30,B189="BAS",E189+56,B189="Seized",E189)</f>
        <v>45731</v>
      </c>
      <c r="G189" s="2">
        <v>45731</v>
      </c>
      <c r="H189" s="5">
        <f t="shared" si="11"/>
        <v>0</v>
      </c>
      <c r="I189" s="5">
        <f t="shared" si="10"/>
        <v>0</v>
      </c>
      <c r="J189" s="2" t="s">
        <v>31</v>
      </c>
      <c r="K189" s="2" t="s">
        <v>587</v>
      </c>
      <c r="L189" t="s">
        <v>17</v>
      </c>
      <c r="AD189" s="33" t="str">
        <f t="shared" si="9"/>
        <v>Saturday</v>
      </c>
    </row>
    <row r="190" spans="1:30" x14ac:dyDescent="0.2">
      <c r="A190" s="3">
        <v>39894</v>
      </c>
      <c r="B190" s="2" t="s">
        <v>38</v>
      </c>
      <c r="C190" t="s">
        <v>10</v>
      </c>
      <c r="D190" t="s">
        <v>208</v>
      </c>
      <c r="E190" s="2">
        <v>45731</v>
      </c>
      <c r="F190" s="2" cm="1">
        <f t="array" ref="F190">_xlfn.IFS(B190="Owner Surrender",E190,B190="Stray",E190+6,B190="Stray w/identification",E190+11,B190="Bite",E190+10,B190="Other",E190+30,B190="BAS",E190+56,B190="Seized",E190)</f>
        <v>45737</v>
      </c>
      <c r="G190" s="2">
        <v>45740</v>
      </c>
      <c r="H190" s="5">
        <f t="shared" si="11"/>
        <v>9</v>
      </c>
      <c r="I190" s="5">
        <f t="shared" si="10"/>
        <v>3</v>
      </c>
      <c r="J190" s="2" t="s">
        <v>18</v>
      </c>
      <c r="K190" s="2" t="s">
        <v>586</v>
      </c>
      <c r="L190" t="s">
        <v>332</v>
      </c>
      <c r="AD190" s="33" t="str">
        <f t="shared" si="9"/>
        <v>Monday</v>
      </c>
    </row>
    <row r="191" spans="1:30" x14ac:dyDescent="0.2">
      <c r="A191" s="3">
        <v>39895</v>
      </c>
      <c r="B191" s="2" t="s">
        <v>38</v>
      </c>
      <c r="C191" t="s">
        <v>7</v>
      </c>
      <c r="D191" t="s">
        <v>207</v>
      </c>
      <c r="E191" s="2">
        <v>45731</v>
      </c>
      <c r="F191" s="2" cm="1">
        <f t="array" ref="F191">_xlfn.IFS(B191="Owner Surrender",E191,B191="Stray",E191+6,B191="Stray w/identification",E191+11,B191="Bite",E191+10,B191="Other",E191+30,B191="BAS",E191+56,B191="Seized",E191)</f>
        <v>45737</v>
      </c>
      <c r="G191" s="2">
        <v>45737</v>
      </c>
      <c r="H191" s="5">
        <f t="shared" si="11"/>
        <v>6</v>
      </c>
      <c r="I191" s="5">
        <f t="shared" si="10"/>
        <v>0</v>
      </c>
      <c r="J191" s="2" t="s">
        <v>31</v>
      </c>
      <c r="K191" s="2" t="s">
        <v>587</v>
      </c>
      <c r="M191" t="s">
        <v>34</v>
      </c>
      <c r="AD191" s="33" t="str">
        <f t="shared" si="9"/>
        <v>Friday</v>
      </c>
    </row>
    <row r="192" spans="1:30" x14ac:dyDescent="0.2">
      <c r="A192" s="3">
        <v>39897</v>
      </c>
      <c r="B192" s="2" t="s">
        <v>38</v>
      </c>
      <c r="C192" t="s">
        <v>7</v>
      </c>
      <c r="D192" t="s">
        <v>207</v>
      </c>
      <c r="E192" s="2">
        <v>45733</v>
      </c>
      <c r="F192" s="2" cm="1">
        <f t="array" ref="F192">_xlfn.IFS(B192="Owner Surrender",E192,B192="Stray",E192+6,B192="Stray w/identification",E192+11,B192="Bite",E192+10,B192="Other",E192+30,B192="BAS",E192+56,B192="Seized",E192)</f>
        <v>45739</v>
      </c>
      <c r="G192" s="2">
        <v>45740</v>
      </c>
      <c r="H192" s="5">
        <f t="shared" si="11"/>
        <v>7</v>
      </c>
      <c r="I192" s="5">
        <f t="shared" si="10"/>
        <v>1</v>
      </c>
      <c r="J192" s="2" t="s">
        <v>18</v>
      </c>
      <c r="K192" s="2" t="s">
        <v>586</v>
      </c>
      <c r="M192" t="s">
        <v>34</v>
      </c>
      <c r="AD192" s="33" t="str">
        <f t="shared" si="9"/>
        <v>Monday</v>
      </c>
    </row>
    <row r="193" spans="1:30" x14ac:dyDescent="0.2">
      <c r="A193" s="3">
        <v>39904</v>
      </c>
      <c r="B193" s="2" t="s">
        <v>36</v>
      </c>
      <c r="C193" t="s">
        <v>7</v>
      </c>
      <c r="D193" t="s">
        <v>207</v>
      </c>
      <c r="E193" s="2">
        <v>45733</v>
      </c>
      <c r="F193" s="2" cm="1">
        <f t="array" ref="F193">_xlfn.IFS(B193="Owner Surrender",E193,B193="Stray",E193+6,B193="Stray w/identification",E193+11,B193="Bite",E193+10,B193="Other",E193+30,B193="BAS",E193+56,B193="Seized",E193)</f>
        <v>45733</v>
      </c>
      <c r="G193" s="2">
        <v>45740</v>
      </c>
      <c r="H193" s="5">
        <f t="shared" si="11"/>
        <v>7</v>
      </c>
      <c r="I193" s="5">
        <f t="shared" si="10"/>
        <v>7</v>
      </c>
      <c r="J193" s="2" t="s">
        <v>18</v>
      </c>
      <c r="K193" s="2" t="s">
        <v>586</v>
      </c>
      <c r="L193" t="s">
        <v>331</v>
      </c>
      <c r="AD193" s="33" t="str">
        <f t="shared" si="9"/>
        <v>Monday</v>
      </c>
    </row>
    <row r="194" spans="1:30" x14ac:dyDescent="0.2">
      <c r="A194" s="3">
        <v>39907</v>
      </c>
      <c r="B194" s="2" t="s">
        <v>36</v>
      </c>
      <c r="C194" t="s">
        <v>10</v>
      </c>
      <c r="D194" t="s">
        <v>207</v>
      </c>
      <c r="E194" s="2">
        <v>45734</v>
      </c>
      <c r="F194" s="2" cm="1">
        <f t="array" ref="F194">_xlfn.IFS(B194="Owner Surrender",E194,B194="Stray",E194+6,B194="Stray w/identification",E194+11,B194="Bite",E194+10,B194="Other",E194+30,B194="BAS",E194+56,B194="Seized",E194)</f>
        <v>45734</v>
      </c>
      <c r="G194" s="2">
        <v>45736</v>
      </c>
      <c r="H194" s="5">
        <f t="shared" si="11"/>
        <v>2</v>
      </c>
      <c r="I194" s="5">
        <f t="shared" si="10"/>
        <v>2</v>
      </c>
      <c r="J194" s="2" t="s">
        <v>31</v>
      </c>
      <c r="K194" s="2" t="s">
        <v>587</v>
      </c>
      <c r="AD194" s="33" t="str">
        <f t="shared" si="9"/>
        <v>Thursday</v>
      </c>
    </row>
    <row r="195" spans="1:30" x14ac:dyDescent="0.2">
      <c r="A195" s="3">
        <v>39908</v>
      </c>
      <c r="B195" s="2" t="s">
        <v>36</v>
      </c>
      <c r="C195" t="s">
        <v>15</v>
      </c>
      <c r="D195" t="s">
        <v>208</v>
      </c>
      <c r="E195" s="2">
        <v>45734</v>
      </c>
      <c r="F195" s="2" cm="1">
        <f t="array" ref="F195">_xlfn.IFS(B195="Owner Surrender",E195,B195="Stray",E195+6,B195="Stray w/identification",E195+11,B195="Bite",E195+10,B195="Other",E195+30,B195="BAS",E195+56,B195="Seized",E195)</f>
        <v>45734</v>
      </c>
      <c r="G195" s="2">
        <v>45736</v>
      </c>
      <c r="H195" s="5">
        <f t="shared" si="11"/>
        <v>2</v>
      </c>
      <c r="I195" s="5">
        <f t="shared" si="10"/>
        <v>2</v>
      </c>
      <c r="J195" s="2" t="s">
        <v>31</v>
      </c>
      <c r="K195" s="2" t="s">
        <v>587</v>
      </c>
      <c r="AD195" s="33" t="str">
        <f t="shared" si="9"/>
        <v>Thursday</v>
      </c>
    </row>
    <row r="196" spans="1:30" x14ac:dyDescent="0.2">
      <c r="A196" s="3">
        <v>39916</v>
      </c>
      <c r="B196" s="2" t="s">
        <v>38</v>
      </c>
      <c r="C196" t="s">
        <v>7</v>
      </c>
      <c r="D196" t="s">
        <v>207</v>
      </c>
      <c r="E196" s="2">
        <v>45734</v>
      </c>
      <c r="F196" s="2" cm="1">
        <f t="array" ref="F196">_xlfn.IFS(B196="Owner Surrender",E196,B196="Stray",E196+6,B196="Stray w/identification",E196+11,B196="Bite",E196+10,B196="Other",E196+30,B196="BAS",E196+56,B196="Seized",E196)</f>
        <v>45740</v>
      </c>
      <c r="G196" s="2">
        <v>45742</v>
      </c>
      <c r="H196" s="5">
        <f t="shared" si="11"/>
        <v>8</v>
      </c>
      <c r="I196" s="5">
        <f t="shared" si="10"/>
        <v>2</v>
      </c>
      <c r="J196" s="2" t="s">
        <v>18</v>
      </c>
      <c r="K196" s="2" t="s">
        <v>586</v>
      </c>
      <c r="M196" t="s">
        <v>34</v>
      </c>
      <c r="AD196" s="33" t="str">
        <f t="shared" ref="AD196:AD259" si="12">TEXT(G196,"DDDD")</f>
        <v>Wednesday</v>
      </c>
    </row>
    <row r="197" spans="1:30" x14ac:dyDescent="0.2">
      <c r="A197" s="3">
        <v>39921</v>
      </c>
      <c r="B197" s="2" t="s">
        <v>38</v>
      </c>
      <c r="C197" t="s">
        <v>7</v>
      </c>
      <c r="D197" t="s">
        <v>207</v>
      </c>
      <c r="E197" s="2">
        <v>45735</v>
      </c>
      <c r="F197" s="2" cm="1">
        <f t="array" ref="F197">_xlfn.IFS(B197="Owner Surrender",E197,B197="Stray",E197+6,B197="Stray w/identification",E197+11,B197="Bite",E197+10,B197="Other",E197+30,B197="BAS",E197+56,B197="Seized",E197)</f>
        <v>45741</v>
      </c>
      <c r="G197" s="2">
        <v>45747</v>
      </c>
      <c r="H197" s="5">
        <f t="shared" si="11"/>
        <v>12</v>
      </c>
      <c r="I197" s="5">
        <f t="shared" si="10"/>
        <v>6</v>
      </c>
      <c r="J197" s="2" t="s">
        <v>31</v>
      </c>
      <c r="K197" s="2" t="s">
        <v>587</v>
      </c>
      <c r="L197" t="s">
        <v>330</v>
      </c>
      <c r="AD197" s="33" t="str">
        <f t="shared" si="12"/>
        <v>Monday</v>
      </c>
    </row>
    <row r="198" spans="1:30" x14ac:dyDescent="0.2">
      <c r="A198" s="3">
        <v>39922</v>
      </c>
      <c r="B198" s="2" t="s">
        <v>38</v>
      </c>
      <c r="C198" t="s">
        <v>7</v>
      </c>
      <c r="D198" t="s">
        <v>207</v>
      </c>
      <c r="E198" s="2">
        <v>45735</v>
      </c>
      <c r="F198" s="2" cm="1">
        <f t="array" ref="F198">_xlfn.IFS(B198="Owner Surrender",E198,B198="Stray",E198+6,B198="Stray w/identification",E198+11,B198="Bite",E198+10,B198="Other",E198+30,B198="BAS",E198+56,B198="Seized",E198)</f>
        <v>45741</v>
      </c>
      <c r="G198" s="2">
        <v>45747</v>
      </c>
      <c r="H198" s="5">
        <f t="shared" si="11"/>
        <v>12</v>
      </c>
      <c r="I198" s="5">
        <f t="shared" si="10"/>
        <v>6</v>
      </c>
      <c r="J198" s="2" t="s">
        <v>31</v>
      </c>
      <c r="K198" s="2" t="s">
        <v>587</v>
      </c>
      <c r="L198" t="s">
        <v>329</v>
      </c>
      <c r="AD198" s="33" t="str">
        <f t="shared" si="12"/>
        <v>Monday</v>
      </c>
    </row>
    <row r="199" spans="1:30" x14ac:dyDescent="0.2">
      <c r="A199" s="3">
        <v>39924</v>
      </c>
      <c r="B199" s="2" t="s">
        <v>38</v>
      </c>
      <c r="C199" t="s">
        <v>7</v>
      </c>
      <c r="D199" t="s">
        <v>208</v>
      </c>
      <c r="E199" s="2">
        <v>45735</v>
      </c>
      <c r="F199" s="2" cm="1">
        <f t="array" ref="F199">_xlfn.IFS(B199="Owner Surrender",E199,B199="Stray",E199+6,B199="Stray w/identification",E199+11,B199="Bite",E199+10,B199="Other",Blank)</f>
        <v>45741</v>
      </c>
      <c r="G199" s="2">
        <v>45757</v>
      </c>
      <c r="H199" s="5">
        <f t="shared" si="11"/>
        <v>22</v>
      </c>
      <c r="I199" s="5">
        <f t="shared" si="10"/>
        <v>16</v>
      </c>
      <c r="J199" s="2" t="s">
        <v>18</v>
      </c>
      <c r="K199" s="2" t="s">
        <v>586</v>
      </c>
      <c r="AD199" s="33" t="str">
        <f t="shared" si="12"/>
        <v>Thursday</v>
      </c>
    </row>
    <row r="200" spans="1:30" x14ac:dyDescent="0.2">
      <c r="A200" s="3">
        <v>39925</v>
      </c>
      <c r="B200" s="2" t="s">
        <v>38</v>
      </c>
      <c r="C200" t="s">
        <v>7</v>
      </c>
      <c r="D200" t="s">
        <v>207</v>
      </c>
      <c r="E200" s="2">
        <v>45734</v>
      </c>
      <c r="F200" s="2" cm="1">
        <f t="array" ref="F200">_xlfn.IFS(B200="Owner Surrender",E200,B200="Stray",E200+6,B200="Stray w/identification",E200+11,B200="Bite",E200+10,B200="Other",E200+30,B200="BAS",E200+56,B200="Seized",E200)</f>
        <v>45740</v>
      </c>
      <c r="G200" s="2">
        <v>45743</v>
      </c>
      <c r="H200" s="5">
        <f t="shared" si="11"/>
        <v>9</v>
      </c>
      <c r="I200" s="5">
        <f t="shared" si="10"/>
        <v>3</v>
      </c>
      <c r="J200" s="2" t="s">
        <v>31</v>
      </c>
      <c r="K200" s="2" t="s">
        <v>587</v>
      </c>
      <c r="M200" t="s">
        <v>34</v>
      </c>
      <c r="AD200" s="33" t="str">
        <f t="shared" si="12"/>
        <v>Thursday</v>
      </c>
    </row>
    <row r="201" spans="1:30" x14ac:dyDescent="0.2">
      <c r="A201" s="3">
        <v>39926</v>
      </c>
      <c r="B201" s="2" t="s">
        <v>38</v>
      </c>
      <c r="C201" t="s">
        <v>7</v>
      </c>
      <c r="D201" t="s">
        <v>208</v>
      </c>
      <c r="E201" s="2">
        <v>45735</v>
      </c>
      <c r="F201" s="2" cm="1">
        <f t="array" ref="F201">_xlfn.IFS(B201="Owner Surrender",E201,B201="Stray",E201+6,B201="Stray w/identification",E201+11,B201="Bite",E201+10,B201="Other",E201+30,B201="BAS",E201+56,B201="Seized",E201)</f>
        <v>45741</v>
      </c>
      <c r="G201" s="2">
        <v>45735</v>
      </c>
      <c r="H201" s="5">
        <f t="shared" si="11"/>
        <v>0</v>
      </c>
      <c r="I201" s="5">
        <f t="shared" si="10"/>
        <v>-6</v>
      </c>
      <c r="J201" s="2" t="s">
        <v>31</v>
      </c>
      <c r="K201" s="2" t="s">
        <v>143</v>
      </c>
      <c r="M201" t="s">
        <v>46</v>
      </c>
      <c r="AD201" s="33" t="str">
        <f t="shared" si="12"/>
        <v>Wednesday</v>
      </c>
    </row>
    <row r="202" spans="1:30" x14ac:dyDescent="0.2">
      <c r="A202" s="3">
        <v>39927</v>
      </c>
      <c r="B202" s="2" t="s">
        <v>38</v>
      </c>
      <c r="C202" t="s">
        <v>7</v>
      </c>
      <c r="D202" t="s">
        <v>208</v>
      </c>
      <c r="E202" s="2">
        <v>45735</v>
      </c>
      <c r="F202" s="2" cm="1">
        <f t="array" ref="F202">_xlfn.IFS(B202="Owner Surrender",E202,B202="Stray",E202+6,B202="Stray w/identification",E202+11,B202="Bite",E202+10,B202="Other",E202+30,B202="BAS",E202+56,B202="Seized",E202)</f>
        <v>45741</v>
      </c>
      <c r="G202" s="2">
        <v>45735</v>
      </c>
      <c r="H202" s="5">
        <f t="shared" si="11"/>
        <v>0</v>
      </c>
      <c r="I202" s="5">
        <f t="shared" si="10"/>
        <v>-6</v>
      </c>
      <c r="J202" s="2" t="s">
        <v>31</v>
      </c>
      <c r="K202" s="2" t="s">
        <v>143</v>
      </c>
      <c r="M202" t="s">
        <v>46</v>
      </c>
      <c r="AD202" s="33" t="str">
        <f t="shared" si="12"/>
        <v>Wednesday</v>
      </c>
    </row>
    <row r="203" spans="1:30" x14ac:dyDescent="0.2">
      <c r="A203" s="3">
        <v>39928</v>
      </c>
      <c r="B203" s="2" t="s">
        <v>38</v>
      </c>
      <c r="C203" t="s">
        <v>7</v>
      </c>
      <c r="D203" t="s">
        <v>208</v>
      </c>
      <c r="E203" s="2">
        <v>45735</v>
      </c>
      <c r="F203" s="2" cm="1">
        <f t="array" ref="F203">_xlfn.IFS(B203="Owner Surrender",E203,B203="Stray",E203+6,B203="Stray w/identification",E203+11,B203="Bite",E203+10,B203="Other",E203+30,B203="BAS",E203+56,B203="Seized",E203)</f>
        <v>45741</v>
      </c>
      <c r="G203" s="2">
        <v>45735</v>
      </c>
      <c r="H203" s="5">
        <f t="shared" si="11"/>
        <v>0</v>
      </c>
      <c r="I203" s="5">
        <f t="shared" si="10"/>
        <v>-6</v>
      </c>
      <c r="J203" s="2" t="s">
        <v>31</v>
      </c>
      <c r="K203" s="2" t="s">
        <v>143</v>
      </c>
      <c r="M203" t="s">
        <v>46</v>
      </c>
      <c r="AD203" s="33" t="str">
        <f t="shared" si="12"/>
        <v>Wednesday</v>
      </c>
    </row>
    <row r="204" spans="1:30" x14ac:dyDescent="0.2">
      <c r="A204" s="3">
        <v>39929</v>
      </c>
      <c r="B204" s="2" t="s">
        <v>38</v>
      </c>
      <c r="C204" t="s">
        <v>7</v>
      </c>
      <c r="D204" t="s">
        <v>208</v>
      </c>
      <c r="E204" s="2">
        <v>45735</v>
      </c>
      <c r="F204" s="2" cm="1">
        <f t="array" ref="F204">_xlfn.IFS(B204="Owner Surrender",E204,B204="Stray",E204+6,B204="Stray w/identification",E204+11,B204="Bite",E204+10,B204="Other",E204+30,B204="BAS",E204+56,B204="Seized",E204)</f>
        <v>45741</v>
      </c>
      <c r="G204" s="2">
        <v>45735</v>
      </c>
      <c r="H204" s="5">
        <f t="shared" si="11"/>
        <v>0</v>
      </c>
      <c r="I204" s="5">
        <f t="shared" si="10"/>
        <v>-6</v>
      </c>
      <c r="J204" s="2" t="s">
        <v>31</v>
      </c>
      <c r="K204" s="2" t="s">
        <v>143</v>
      </c>
      <c r="M204" t="s">
        <v>46</v>
      </c>
      <c r="AD204" s="33" t="str">
        <f t="shared" si="12"/>
        <v>Wednesday</v>
      </c>
    </row>
    <row r="205" spans="1:30" x14ac:dyDescent="0.2">
      <c r="A205" s="3">
        <v>39930</v>
      </c>
      <c r="B205" s="2" t="s">
        <v>38</v>
      </c>
      <c r="C205" t="s">
        <v>7</v>
      </c>
      <c r="D205" t="s">
        <v>207</v>
      </c>
      <c r="E205" s="2">
        <v>45735</v>
      </c>
      <c r="F205" s="2" cm="1">
        <f t="array" ref="F205">_xlfn.IFS(B205="Owner Surrender",E205,B205="Stray",E205+6,B205="Stray w/identification",E205+11,B205="Bite",E205+10,B205="Other",E205+30,B205="BAS",E205+56,B205="Seized",E205)</f>
        <v>45741</v>
      </c>
      <c r="G205" s="2">
        <v>45743</v>
      </c>
      <c r="H205" s="5">
        <f t="shared" si="11"/>
        <v>8</v>
      </c>
      <c r="I205" s="5">
        <f t="shared" si="10"/>
        <v>2</v>
      </c>
      <c r="J205" s="2" t="s">
        <v>31</v>
      </c>
      <c r="K205" s="2" t="s">
        <v>587</v>
      </c>
      <c r="M205" t="s">
        <v>592</v>
      </c>
      <c r="AD205" s="33" t="str">
        <f t="shared" si="12"/>
        <v>Thursday</v>
      </c>
    </row>
    <row r="206" spans="1:30" x14ac:dyDescent="0.2">
      <c r="A206" s="3">
        <v>39931</v>
      </c>
      <c r="B206" s="2" t="s">
        <v>38</v>
      </c>
      <c r="C206" t="s">
        <v>10</v>
      </c>
      <c r="D206" t="s">
        <v>207</v>
      </c>
      <c r="E206" s="2">
        <v>45736</v>
      </c>
      <c r="F206" s="2" cm="1">
        <f t="array" ref="F206">_xlfn.IFS(B206="Owner Surrender",E206,B206="Stray",E206+6,B206="Stray w/identification",E206+11,B206="Bite",E206+10,B206="Other",E206+30,B206="BAS",E206+56,B206="Seized",E206)</f>
        <v>45742</v>
      </c>
      <c r="G206" s="2">
        <v>45743</v>
      </c>
      <c r="H206" s="5">
        <f t="shared" si="11"/>
        <v>7</v>
      </c>
      <c r="I206" s="5">
        <f t="shared" si="10"/>
        <v>1</v>
      </c>
      <c r="J206" s="2" t="s">
        <v>31</v>
      </c>
      <c r="K206" s="2" t="s">
        <v>587</v>
      </c>
      <c r="M206" t="s">
        <v>592</v>
      </c>
      <c r="AD206" s="33" t="str">
        <f t="shared" si="12"/>
        <v>Thursday</v>
      </c>
    </row>
    <row r="207" spans="1:30" x14ac:dyDescent="0.2">
      <c r="A207" s="3">
        <v>39945</v>
      </c>
      <c r="B207" s="2" t="s">
        <v>36</v>
      </c>
      <c r="C207" t="s">
        <v>7</v>
      </c>
      <c r="D207" t="s">
        <v>208</v>
      </c>
      <c r="E207" s="2">
        <v>45736</v>
      </c>
      <c r="F207" s="2" cm="1">
        <f t="array" ref="F207">_xlfn.IFS(B207="Owner Surrender",E207,B207="Stray",E207+6,B207="Stray w/identification",E207+11,B207="Bite",E207+10,B207="Other",E207+30,B207="BAS",E207+56,B207="Seized",E207)</f>
        <v>45736</v>
      </c>
      <c r="G207" s="2">
        <v>45740</v>
      </c>
      <c r="H207" s="5">
        <f t="shared" si="11"/>
        <v>4</v>
      </c>
      <c r="I207" s="5">
        <f t="shared" si="10"/>
        <v>4</v>
      </c>
      <c r="J207" s="2" t="s">
        <v>18</v>
      </c>
      <c r="K207" s="2" t="s">
        <v>586</v>
      </c>
      <c r="AD207" s="33" t="str">
        <f t="shared" si="12"/>
        <v>Monday</v>
      </c>
    </row>
    <row r="208" spans="1:30" x14ac:dyDescent="0.2">
      <c r="A208" s="3">
        <v>39946</v>
      </c>
      <c r="B208" s="2" t="s">
        <v>36</v>
      </c>
      <c r="C208" t="s">
        <v>7</v>
      </c>
      <c r="D208" t="s">
        <v>208</v>
      </c>
      <c r="E208" s="2">
        <v>45736</v>
      </c>
      <c r="F208" s="2" cm="1">
        <f t="array" ref="F208">_xlfn.IFS(B208="Owner Surrender",E208,B208="Stray",E208+6,B208="Stray w/identification",E208+11,B208="Bite",E208+10,B208="Other",E208+30,B208="BAS",E208+56,B208="Seized",E208)</f>
        <v>45736</v>
      </c>
      <c r="G208" s="2">
        <v>45740</v>
      </c>
      <c r="H208" s="5">
        <f t="shared" si="11"/>
        <v>4</v>
      </c>
      <c r="I208" s="5">
        <f t="shared" si="10"/>
        <v>4</v>
      </c>
      <c r="J208" s="2" t="s">
        <v>18</v>
      </c>
      <c r="K208" s="2" t="s">
        <v>586</v>
      </c>
      <c r="AD208" s="33" t="str">
        <f t="shared" si="12"/>
        <v>Monday</v>
      </c>
    </row>
    <row r="209" spans="1:30" x14ac:dyDescent="0.2">
      <c r="A209" s="3">
        <v>39947</v>
      </c>
      <c r="B209" s="2" t="s">
        <v>36</v>
      </c>
      <c r="C209" t="s">
        <v>7</v>
      </c>
      <c r="D209" t="s">
        <v>208</v>
      </c>
      <c r="E209" s="2">
        <v>45736</v>
      </c>
      <c r="F209" s="2" cm="1">
        <f t="array" ref="F209">_xlfn.IFS(B209="Owner Surrender",E209,B209="Stray",E209+6,B209="Stray w/identification",E209+11,B209="Bite",E209+10,B209="Other",E209+30,B209="BAS",E209+56,B209="Seized",E209)</f>
        <v>45736</v>
      </c>
      <c r="G209" s="2">
        <v>45740</v>
      </c>
      <c r="H209" s="5">
        <f t="shared" si="11"/>
        <v>4</v>
      </c>
      <c r="I209" s="5">
        <f t="shared" si="10"/>
        <v>4</v>
      </c>
      <c r="J209" s="2" t="s">
        <v>18</v>
      </c>
      <c r="K209" s="2" t="s">
        <v>586</v>
      </c>
      <c r="AD209" s="33" t="str">
        <f t="shared" si="12"/>
        <v>Monday</v>
      </c>
    </row>
    <row r="210" spans="1:30" x14ac:dyDescent="0.2">
      <c r="A210" s="3">
        <v>39948</v>
      </c>
      <c r="B210" s="2" t="s">
        <v>36</v>
      </c>
      <c r="C210" t="s">
        <v>7</v>
      </c>
      <c r="D210" t="s">
        <v>208</v>
      </c>
      <c r="E210" s="2">
        <v>45736</v>
      </c>
      <c r="F210" s="2" cm="1">
        <f t="array" ref="F210">_xlfn.IFS(B210="Owner Surrender",E210,B210="Stray",E210+6,B210="Stray w/identification",E210+11,B210="Bite",E210+10,B210="Other",E210+30,B210="BAS",E210+56,B210="Seized",E210)</f>
        <v>45736</v>
      </c>
      <c r="G210" s="2">
        <v>45740</v>
      </c>
      <c r="H210" s="5">
        <f t="shared" si="11"/>
        <v>4</v>
      </c>
      <c r="I210" s="5">
        <f t="shared" si="10"/>
        <v>4</v>
      </c>
      <c r="J210" s="2" t="s">
        <v>18</v>
      </c>
      <c r="K210" s="2" t="s">
        <v>586</v>
      </c>
      <c r="AD210" s="33" t="str">
        <f t="shared" si="12"/>
        <v>Monday</v>
      </c>
    </row>
    <row r="211" spans="1:30" x14ac:dyDescent="0.2">
      <c r="A211" s="3">
        <v>39949</v>
      </c>
      <c r="B211" s="2" t="s">
        <v>36</v>
      </c>
      <c r="C211" t="s">
        <v>7</v>
      </c>
      <c r="D211" t="s">
        <v>208</v>
      </c>
      <c r="E211" s="2">
        <v>45736</v>
      </c>
      <c r="F211" s="2" cm="1">
        <f t="array" ref="F211">_xlfn.IFS(B211="Owner Surrender",E211,B211="Stray",E211+6,B211="Stray w/identification",E211+11,B211="Bite",E211+10,B211="Other",E211+30,B211="BAS",E211+56,B211="Seized",E211)</f>
        <v>45736</v>
      </c>
      <c r="G211" s="2">
        <v>45740</v>
      </c>
      <c r="H211" s="5">
        <f t="shared" si="11"/>
        <v>4</v>
      </c>
      <c r="I211" s="5">
        <f t="shared" si="10"/>
        <v>4</v>
      </c>
      <c r="J211" s="2" t="s">
        <v>18</v>
      </c>
      <c r="K211" s="2" t="s">
        <v>586</v>
      </c>
      <c r="AD211" s="33" t="str">
        <f t="shared" si="12"/>
        <v>Monday</v>
      </c>
    </row>
    <row r="212" spans="1:30" x14ac:dyDescent="0.2">
      <c r="A212" s="3">
        <v>39950</v>
      </c>
      <c r="B212" s="2" t="s">
        <v>36</v>
      </c>
      <c r="C212" t="s">
        <v>7</v>
      </c>
      <c r="D212" t="s">
        <v>207</v>
      </c>
      <c r="E212" s="2">
        <v>45736</v>
      </c>
      <c r="F212" s="2" cm="1">
        <f t="array" ref="F212">_xlfn.IFS(B212="Owner Surrender",E212,B212="Stray",E212+6,B212="Stray w/identification",E212+11,B212="Bite",E212+10,B212="Other",E212+30,B212="BAS",E212+56,B212="Seized",E212)</f>
        <v>45736</v>
      </c>
      <c r="G212" s="2">
        <v>45740</v>
      </c>
      <c r="H212" s="5">
        <f t="shared" si="11"/>
        <v>4</v>
      </c>
      <c r="I212" s="5">
        <f t="shared" si="10"/>
        <v>4</v>
      </c>
      <c r="J212" s="2" t="s">
        <v>18</v>
      </c>
      <c r="K212" s="2" t="s">
        <v>586</v>
      </c>
      <c r="AD212" s="33" t="str">
        <f t="shared" si="12"/>
        <v>Monday</v>
      </c>
    </row>
    <row r="213" spans="1:30" x14ac:dyDescent="0.2">
      <c r="A213" s="3">
        <v>39952</v>
      </c>
      <c r="B213" s="2" t="s">
        <v>179</v>
      </c>
      <c r="C213" t="s">
        <v>10</v>
      </c>
      <c r="D213" t="s">
        <v>207</v>
      </c>
      <c r="E213" s="2">
        <v>45736</v>
      </c>
      <c r="F213" s="2" cm="1">
        <f t="array" ref="F213">_xlfn.IFS(B213="Owner Surrender",E213,B213="Stray",E213+6,B213="Stray w/identification",E213+11,B213="Bite",E213+10,B213="Other",Blank)</f>
        <v>45747</v>
      </c>
      <c r="G213" s="2">
        <v>45751</v>
      </c>
      <c r="H213" s="5">
        <f t="shared" si="11"/>
        <v>15</v>
      </c>
      <c r="I213" s="5">
        <f t="shared" si="10"/>
        <v>4</v>
      </c>
      <c r="J213" s="2" t="s">
        <v>31</v>
      </c>
      <c r="K213" s="2" t="s">
        <v>588</v>
      </c>
      <c r="L213" t="s">
        <v>593</v>
      </c>
      <c r="AD213" s="33" t="str">
        <f t="shared" si="12"/>
        <v>Friday</v>
      </c>
    </row>
    <row r="214" spans="1:30" x14ac:dyDescent="0.2">
      <c r="A214" s="3">
        <v>39955</v>
      </c>
      <c r="B214" s="2" t="s">
        <v>38</v>
      </c>
      <c r="C214" t="s">
        <v>7</v>
      </c>
      <c r="D214" t="s">
        <v>207</v>
      </c>
      <c r="E214" s="2">
        <v>45737</v>
      </c>
      <c r="F214" s="2" cm="1">
        <f t="array" ref="F214">_xlfn.IFS(B214="Owner Surrender",E214,B214="Stray",E214+6,B214="Stray w/identification",E214+11,B214="Bite",E214+10,B214="Other",E214+30,B214="BAS",E214+56,B214="Seized",E214)</f>
        <v>45743</v>
      </c>
      <c r="G214" s="2">
        <v>45743</v>
      </c>
      <c r="H214" s="5">
        <f t="shared" si="11"/>
        <v>6</v>
      </c>
      <c r="I214" s="5">
        <f t="shared" si="10"/>
        <v>0</v>
      </c>
      <c r="J214" s="2" t="s">
        <v>31</v>
      </c>
      <c r="K214" s="2" t="s">
        <v>587</v>
      </c>
      <c r="AD214" s="33" t="str">
        <f t="shared" si="12"/>
        <v>Thursday</v>
      </c>
    </row>
    <row r="215" spans="1:30" x14ac:dyDescent="0.2">
      <c r="A215" s="3">
        <v>39956</v>
      </c>
      <c r="B215" s="2" t="s">
        <v>38</v>
      </c>
      <c r="C215" t="s">
        <v>7</v>
      </c>
      <c r="D215" t="s">
        <v>207</v>
      </c>
      <c r="E215" s="2">
        <v>45737</v>
      </c>
      <c r="F215" s="2" cm="1">
        <f t="array" ref="F215">_xlfn.IFS(B215="Owner Surrender",E215,B215="Stray",E215+6,B215="Stray w/identification",E215+11,B215="Bite",E215+10,B215="Other",E215+30,B215="BAS",E215+56,B215="Seized",E215)</f>
        <v>45743</v>
      </c>
      <c r="G215" s="2">
        <v>45747</v>
      </c>
      <c r="H215" s="5">
        <f t="shared" si="11"/>
        <v>10</v>
      </c>
      <c r="I215" s="5">
        <f t="shared" si="10"/>
        <v>4</v>
      </c>
      <c r="J215" s="2" t="s">
        <v>31</v>
      </c>
      <c r="K215" s="2" t="s">
        <v>587</v>
      </c>
      <c r="AD215" s="33" t="str">
        <f t="shared" si="12"/>
        <v>Monday</v>
      </c>
    </row>
    <row r="216" spans="1:30" x14ac:dyDescent="0.2">
      <c r="A216" s="3">
        <v>39957</v>
      </c>
      <c r="B216" s="2" t="s">
        <v>38</v>
      </c>
      <c r="C216" t="s">
        <v>7</v>
      </c>
      <c r="D216" t="s">
        <v>208</v>
      </c>
      <c r="E216" s="2">
        <v>45738</v>
      </c>
      <c r="F216" s="2" cm="1">
        <f t="array" ref="F216">_xlfn.IFS(B216="Owner Surrender",E216,B216="Stray",E216+6,B216="Stray w/identification",E216+11,B216="Bite",E216+10,B216="Other",E216+30,B216="BAS",E216+56,B216="Seized",E216)</f>
        <v>45744</v>
      </c>
      <c r="G216" s="2">
        <v>45738</v>
      </c>
      <c r="H216" s="5">
        <f t="shared" si="11"/>
        <v>0</v>
      </c>
      <c r="I216" s="5">
        <f t="shared" si="10"/>
        <v>-6</v>
      </c>
      <c r="J216" s="2" t="s">
        <v>31</v>
      </c>
      <c r="K216" s="2" t="s">
        <v>143</v>
      </c>
      <c r="M216" t="s">
        <v>46</v>
      </c>
      <c r="AD216" s="33" t="str">
        <f t="shared" si="12"/>
        <v>Saturday</v>
      </c>
    </row>
    <row r="217" spans="1:30" x14ac:dyDescent="0.2">
      <c r="A217" s="3">
        <v>39958</v>
      </c>
      <c r="B217" s="2" t="s">
        <v>38</v>
      </c>
      <c r="C217" t="s">
        <v>7</v>
      </c>
      <c r="D217" t="s">
        <v>209</v>
      </c>
      <c r="E217" s="2">
        <v>45738</v>
      </c>
      <c r="F217" s="2" cm="1">
        <f t="array" ref="F217">_xlfn.IFS(B217="Owner Surrender",E217,B217="Stray",E217+6,B217="Stray w/identification",E217+11,B217="Bite",E217+10,B217="Other",Blank)</f>
        <v>45744</v>
      </c>
      <c r="G217" s="2">
        <v>45748</v>
      </c>
      <c r="H217" s="5">
        <f t="shared" si="11"/>
        <v>10</v>
      </c>
      <c r="I217" s="5">
        <f t="shared" si="10"/>
        <v>4</v>
      </c>
      <c r="J217" s="2" t="s">
        <v>31</v>
      </c>
      <c r="K217" s="2" t="s">
        <v>587</v>
      </c>
      <c r="L217" t="s">
        <v>360</v>
      </c>
      <c r="AD217" s="33" t="str">
        <f t="shared" si="12"/>
        <v>Tuesday</v>
      </c>
    </row>
    <row r="218" spans="1:30" x14ac:dyDescent="0.2">
      <c r="A218" s="3">
        <v>39959</v>
      </c>
      <c r="B218" s="2" t="s">
        <v>36</v>
      </c>
      <c r="C218" t="s">
        <v>7</v>
      </c>
      <c r="D218" t="s">
        <v>208</v>
      </c>
      <c r="E218" s="2">
        <v>45738</v>
      </c>
      <c r="F218" s="2" cm="1">
        <f t="array" ref="F218">_xlfn.IFS(B218="Owner Surrender",E218,B218="Stray",E218+6,B218="Stray w/identification",E218+11,B218="Bite",E218+10,B218="Other",E218+30,B218="BAS",E218+56,B218="Seized",E218)</f>
        <v>45738</v>
      </c>
      <c r="G218" s="2">
        <v>45738</v>
      </c>
      <c r="H218" s="5">
        <f t="shared" si="11"/>
        <v>0</v>
      </c>
      <c r="I218" s="5">
        <f t="shared" ref="I218:I226" si="13">G218-F218</f>
        <v>0</v>
      </c>
      <c r="J218" s="2" t="s">
        <v>11</v>
      </c>
      <c r="K218" s="2" t="s">
        <v>586</v>
      </c>
      <c r="AD218" s="33" t="str">
        <f t="shared" si="12"/>
        <v>Saturday</v>
      </c>
    </row>
    <row r="219" spans="1:30" x14ac:dyDescent="0.2">
      <c r="A219" s="3">
        <v>39960</v>
      </c>
      <c r="B219" s="2" t="s">
        <v>36</v>
      </c>
      <c r="C219" t="s">
        <v>7</v>
      </c>
      <c r="D219" t="s">
        <v>208</v>
      </c>
      <c r="E219" s="2">
        <v>45738</v>
      </c>
      <c r="F219" s="2" cm="1">
        <f t="array" ref="F219">_xlfn.IFS(B219="Owner Surrender",E219,B219="Stray",E219+6,B219="Stray w/identification",E219+11,B219="Bite",E219+10,B219="Other",Blank)</f>
        <v>45738</v>
      </c>
      <c r="G219" s="2">
        <v>45757</v>
      </c>
      <c r="H219" s="5">
        <f t="shared" si="11"/>
        <v>19</v>
      </c>
      <c r="I219" s="5">
        <f t="shared" si="13"/>
        <v>19</v>
      </c>
      <c r="J219" s="2" t="s">
        <v>18</v>
      </c>
      <c r="K219" s="2" t="s">
        <v>586</v>
      </c>
      <c r="L219" t="s">
        <v>359</v>
      </c>
      <c r="AD219" s="33" t="str">
        <f t="shared" si="12"/>
        <v>Thursday</v>
      </c>
    </row>
    <row r="220" spans="1:30" x14ac:dyDescent="0.2">
      <c r="A220" s="3">
        <v>39964</v>
      </c>
      <c r="B220" s="2" t="s">
        <v>38</v>
      </c>
      <c r="C220" t="s">
        <v>7</v>
      </c>
      <c r="D220" t="s">
        <v>207</v>
      </c>
      <c r="E220" s="2">
        <v>45740</v>
      </c>
      <c r="F220" s="2" cm="1">
        <f t="array" ref="F220">_xlfn.IFS(B220="Owner Surrender",E220,B220="Stray",E220+6,B220="Stray w/identification",E220+11,B220="Bite",E220+10,B220="Other",Blank)</f>
        <v>45746</v>
      </c>
      <c r="G220" s="2">
        <v>45751</v>
      </c>
      <c r="H220" s="5">
        <f t="shared" si="11"/>
        <v>11</v>
      </c>
      <c r="I220" s="5">
        <f t="shared" si="13"/>
        <v>5</v>
      </c>
      <c r="J220" s="2" t="s">
        <v>31</v>
      </c>
      <c r="K220" s="2" t="s">
        <v>587</v>
      </c>
      <c r="L220" t="s">
        <v>358</v>
      </c>
      <c r="AD220" s="33" t="str">
        <f t="shared" si="12"/>
        <v>Friday</v>
      </c>
    </row>
    <row r="221" spans="1:30" x14ac:dyDescent="0.2">
      <c r="A221" s="3">
        <v>39965</v>
      </c>
      <c r="B221" s="2" t="s">
        <v>38</v>
      </c>
      <c r="C221" t="s">
        <v>7</v>
      </c>
      <c r="D221" t="s">
        <v>207</v>
      </c>
      <c r="E221" s="2">
        <v>45740</v>
      </c>
      <c r="F221" s="2" cm="1">
        <f t="array" ref="F221">_xlfn.IFS(B221="Owner Surrender",E221,B221="Stray",E221+6,B221="Stray w/identification",E221+11,B221="Bite",E221+10,B221="Other",Blank)</f>
        <v>45746</v>
      </c>
      <c r="G221" s="2">
        <v>45757</v>
      </c>
      <c r="H221" s="5">
        <f t="shared" si="11"/>
        <v>17</v>
      </c>
      <c r="I221" s="5">
        <f t="shared" si="13"/>
        <v>11</v>
      </c>
      <c r="J221" s="2" t="s">
        <v>31</v>
      </c>
      <c r="K221" s="2" t="s">
        <v>588</v>
      </c>
      <c r="M221" t="s">
        <v>33</v>
      </c>
      <c r="AD221" s="33" t="str">
        <f t="shared" si="12"/>
        <v>Thursday</v>
      </c>
    </row>
    <row r="222" spans="1:30" x14ac:dyDescent="0.2">
      <c r="A222" s="3">
        <v>39967</v>
      </c>
      <c r="B222" s="2" t="s">
        <v>36</v>
      </c>
      <c r="C222" t="s">
        <v>7</v>
      </c>
      <c r="D222" t="s">
        <v>207</v>
      </c>
      <c r="E222" s="2">
        <v>45740</v>
      </c>
      <c r="F222" s="2" cm="1">
        <f t="array" ref="F222">_xlfn.IFS(B222="Owner Surrender",E222,B222="Stray",E222+6,B222="Stray w/identification",E222+11,B222="Bite",E222+10,B222="Other",E222+30,B222="BAS",E222+56,B222="Seized",E222)</f>
        <v>45740</v>
      </c>
      <c r="G222" s="2">
        <v>45742</v>
      </c>
      <c r="H222" s="5">
        <f t="shared" si="11"/>
        <v>2</v>
      </c>
      <c r="I222" s="5">
        <f t="shared" si="13"/>
        <v>2</v>
      </c>
      <c r="J222" s="2" t="s">
        <v>18</v>
      </c>
      <c r="K222" s="2" t="s">
        <v>586</v>
      </c>
      <c r="L222" t="s">
        <v>328</v>
      </c>
      <c r="AD222" s="33" t="str">
        <f t="shared" si="12"/>
        <v>Wednesday</v>
      </c>
    </row>
    <row r="223" spans="1:30" x14ac:dyDescent="0.2">
      <c r="A223" s="3">
        <v>39977</v>
      </c>
      <c r="B223" s="2" t="s">
        <v>38</v>
      </c>
      <c r="C223" t="s">
        <v>7</v>
      </c>
      <c r="D223" t="s">
        <v>209</v>
      </c>
      <c r="E223" s="2">
        <v>45740</v>
      </c>
      <c r="F223" s="2" cm="1">
        <f t="array" ref="F223">_xlfn.IFS(B223="Owner Surrender",E223,B223="Stray",E223+6,B223="Stray w/identification",E223+11,B223="Bite",E223+10,B223="Other",Blank)</f>
        <v>45746</v>
      </c>
      <c r="G223" s="2">
        <v>45757</v>
      </c>
      <c r="H223" s="5">
        <f t="shared" si="11"/>
        <v>17</v>
      </c>
      <c r="I223" s="5">
        <f t="shared" si="13"/>
        <v>11</v>
      </c>
      <c r="J223" s="2" t="s">
        <v>18</v>
      </c>
      <c r="K223" s="2" t="s">
        <v>586</v>
      </c>
      <c r="AD223" s="33" t="str">
        <f t="shared" si="12"/>
        <v>Thursday</v>
      </c>
    </row>
    <row r="224" spans="1:30" x14ac:dyDescent="0.2">
      <c r="A224" s="3">
        <v>39978</v>
      </c>
      <c r="B224" s="2" t="s">
        <v>38</v>
      </c>
      <c r="C224" t="s">
        <v>7</v>
      </c>
      <c r="D224" t="s">
        <v>209</v>
      </c>
      <c r="E224" s="2">
        <v>45740</v>
      </c>
      <c r="F224" s="2" cm="1">
        <f t="array" ref="F224">_xlfn.IFS(B224="Owner Surrender",E224,B224="Stray",E224+6,B224="Stray w/identification",E224+11,B224="Bite",E224+10,B224="Other",Blank)</f>
        <v>45746</v>
      </c>
      <c r="G224" s="2">
        <v>45757</v>
      </c>
      <c r="H224" s="5">
        <f t="shared" si="11"/>
        <v>17</v>
      </c>
      <c r="I224" s="5">
        <f t="shared" si="13"/>
        <v>11</v>
      </c>
      <c r="J224" s="2" t="s">
        <v>18</v>
      </c>
      <c r="K224" s="2" t="s">
        <v>586</v>
      </c>
      <c r="L224" t="s">
        <v>286</v>
      </c>
      <c r="AD224" s="33" t="str">
        <f t="shared" si="12"/>
        <v>Thursday</v>
      </c>
    </row>
    <row r="225" spans="1:30" x14ac:dyDescent="0.2">
      <c r="A225" s="3">
        <v>39985</v>
      </c>
      <c r="B225" s="2" t="s">
        <v>38</v>
      </c>
      <c r="C225" t="s">
        <v>7</v>
      </c>
      <c r="D225" t="s">
        <v>207</v>
      </c>
      <c r="E225" s="2">
        <v>45741</v>
      </c>
      <c r="F225" s="2" cm="1">
        <f t="array" ref="F225">_xlfn.IFS(B225="Owner Surrender",E225,B225="Stray",E225+6,B225="Stray w/identification",E225+11,B225="Bite",E225+10,B225="Other",Blank)</f>
        <v>45747</v>
      </c>
      <c r="G225" s="2">
        <v>45757</v>
      </c>
      <c r="H225" s="5">
        <f t="shared" si="11"/>
        <v>16</v>
      </c>
      <c r="I225" s="5">
        <f t="shared" si="13"/>
        <v>10</v>
      </c>
      <c r="J225" s="2" t="s">
        <v>18</v>
      </c>
      <c r="K225" s="2" t="s">
        <v>586</v>
      </c>
      <c r="L225" t="s">
        <v>124</v>
      </c>
      <c r="AD225" s="33" t="str">
        <f t="shared" si="12"/>
        <v>Thursday</v>
      </c>
    </row>
    <row r="226" spans="1:30" x14ac:dyDescent="0.2">
      <c r="A226" s="3">
        <v>39988</v>
      </c>
      <c r="B226" s="2" t="s">
        <v>36</v>
      </c>
      <c r="C226" t="s">
        <v>15</v>
      </c>
      <c r="D226" t="s">
        <v>207</v>
      </c>
      <c r="E226" s="2">
        <v>45743</v>
      </c>
      <c r="F226" s="2" cm="1">
        <f t="array" ref="F226">_xlfn.IFS(B226="Owner Surrender",E226,B226="Stray",E226+6,B226="Stray w/identification",E226+11,B226="Bite",E226+10,B226="Other",Blank)</f>
        <v>45743</v>
      </c>
      <c r="G226" s="2">
        <v>45751</v>
      </c>
      <c r="H226" s="5">
        <f t="shared" si="11"/>
        <v>8</v>
      </c>
      <c r="I226" s="5">
        <f t="shared" si="13"/>
        <v>8</v>
      </c>
      <c r="J226" s="2" t="s">
        <v>31</v>
      </c>
      <c r="K226" s="2" t="s">
        <v>587</v>
      </c>
      <c r="L226" t="s">
        <v>357</v>
      </c>
      <c r="AD226" s="33" t="str">
        <f t="shared" si="12"/>
        <v>Friday</v>
      </c>
    </row>
    <row r="227" spans="1:30" x14ac:dyDescent="0.2">
      <c r="A227" s="3">
        <v>39990</v>
      </c>
      <c r="B227" s="2" t="s">
        <v>60</v>
      </c>
      <c r="C227" t="s">
        <v>7</v>
      </c>
      <c r="D227" t="s">
        <v>208</v>
      </c>
      <c r="E227" s="2">
        <v>45741</v>
      </c>
      <c r="F227" s="2" cm="1">
        <f t="array" ref="F227">_xlfn.IFS(B227="Owner Surrender",E227,B227="Stray",E227+6,B227="Stray w/identification",E227+11,B227="Bite",E227+10,B227="Other",E227+30,B227="BAS",E227+56,B227="Seized",E227)</f>
        <v>45771</v>
      </c>
      <c r="G227" s="2">
        <v>45743</v>
      </c>
      <c r="H227" s="5">
        <f t="shared" si="11"/>
        <v>2</v>
      </c>
      <c r="J227" s="2" t="s">
        <v>31</v>
      </c>
      <c r="K227" s="2" t="s">
        <v>143</v>
      </c>
      <c r="M227" t="s">
        <v>327</v>
      </c>
      <c r="AD227" s="33" t="str">
        <f t="shared" si="12"/>
        <v>Thursday</v>
      </c>
    </row>
    <row r="228" spans="1:30" x14ac:dyDescent="0.2">
      <c r="A228" s="3">
        <v>39991</v>
      </c>
      <c r="B228" s="2" t="s">
        <v>60</v>
      </c>
      <c r="C228" t="s">
        <v>7</v>
      </c>
      <c r="D228" t="s">
        <v>208</v>
      </c>
      <c r="E228" s="2">
        <v>45741</v>
      </c>
      <c r="F228" s="2" cm="1">
        <f t="array" ref="F228">_xlfn.IFS(B228="Owner Surrender",E228,B228="Stray",E228+6,B228="Stray w/identification",E228+11,B228="Bite",E228+10,B228="Other",E228+30,B228="BAS",E228+56,B228="Seized",E228)</f>
        <v>45771</v>
      </c>
      <c r="G228" s="2">
        <v>45743</v>
      </c>
      <c r="H228" s="5">
        <f t="shared" si="11"/>
        <v>2</v>
      </c>
      <c r="J228" s="2" t="s">
        <v>31</v>
      </c>
      <c r="K228" s="2" t="s">
        <v>143</v>
      </c>
      <c r="M228" t="s">
        <v>289</v>
      </c>
      <c r="AD228" s="33" t="str">
        <f t="shared" si="12"/>
        <v>Thursday</v>
      </c>
    </row>
    <row r="229" spans="1:30" x14ac:dyDescent="0.2">
      <c r="A229" s="3">
        <v>39992</v>
      </c>
      <c r="B229" s="2" t="s">
        <v>60</v>
      </c>
      <c r="C229" t="s">
        <v>7</v>
      </c>
      <c r="D229" t="s">
        <v>208</v>
      </c>
      <c r="E229" s="2">
        <v>45741</v>
      </c>
      <c r="F229" s="2" cm="1">
        <f t="array" ref="F229">_xlfn.IFS(B229="Owner Surrender",E229,B229="Stray",E229+6,B229="Stray w/identification",E229+11,B229="Bite",E229+10,B229="Other",E229+30,B229="BAS",E229+56,B229="Seized",E229)</f>
        <v>45771</v>
      </c>
      <c r="G229" s="2">
        <v>45743</v>
      </c>
      <c r="H229" s="5">
        <f t="shared" si="11"/>
        <v>2</v>
      </c>
      <c r="J229" s="2" t="s">
        <v>31</v>
      </c>
      <c r="K229" s="2" t="s">
        <v>143</v>
      </c>
      <c r="M229" t="s">
        <v>289</v>
      </c>
      <c r="AD229" s="33" t="str">
        <f t="shared" si="12"/>
        <v>Thursday</v>
      </c>
    </row>
    <row r="230" spans="1:30" x14ac:dyDescent="0.2">
      <c r="A230" s="3">
        <v>39993</v>
      </c>
      <c r="B230" s="2" t="s">
        <v>60</v>
      </c>
      <c r="C230" t="s">
        <v>7</v>
      </c>
      <c r="D230" t="s">
        <v>208</v>
      </c>
      <c r="E230" s="2">
        <v>45741</v>
      </c>
      <c r="F230" s="2" cm="1">
        <f t="array" ref="F230">_xlfn.IFS(B230="Owner Surrender",E230,B230="Stray",E230+6,B230="Stray w/identification",E230+11,B230="Bite",E230+10,B230="Other",E230+30,B230="BAS",E230+56,B230="Seized",E230)</f>
        <v>45771</v>
      </c>
      <c r="G230" s="2">
        <v>45743</v>
      </c>
      <c r="H230" s="5">
        <f t="shared" si="11"/>
        <v>2</v>
      </c>
      <c r="J230" s="2" t="s">
        <v>31</v>
      </c>
      <c r="K230" s="2" t="s">
        <v>143</v>
      </c>
      <c r="M230" t="s">
        <v>289</v>
      </c>
      <c r="AD230" s="33" t="str">
        <f t="shared" si="12"/>
        <v>Thursday</v>
      </c>
    </row>
    <row r="231" spans="1:30" x14ac:dyDescent="0.2">
      <c r="A231" s="3">
        <v>39994</v>
      </c>
      <c r="B231" s="2" t="s">
        <v>60</v>
      </c>
      <c r="C231" t="s">
        <v>7</v>
      </c>
      <c r="D231" t="s">
        <v>208</v>
      </c>
      <c r="E231" s="2">
        <v>45741</v>
      </c>
      <c r="F231" s="2" cm="1">
        <f t="array" ref="F231">_xlfn.IFS(B231="Owner Surrender",E231,B231="Stray",E231+6,B231="Stray w/identification",E231+11,B231="Bite",E231+10,B231="Other",E231+30,B231="BAS",E231+56,B231="Seized",E231)</f>
        <v>45771</v>
      </c>
      <c r="G231" s="2">
        <v>45743</v>
      </c>
      <c r="H231" s="5">
        <f t="shared" ref="H231:H294" si="14">+G231-E231</f>
        <v>2</v>
      </c>
      <c r="J231" s="2" t="s">
        <v>31</v>
      </c>
      <c r="K231" s="2" t="s">
        <v>143</v>
      </c>
      <c r="M231" t="s">
        <v>289</v>
      </c>
      <c r="AD231" s="33" t="str">
        <f t="shared" si="12"/>
        <v>Thursday</v>
      </c>
    </row>
    <row r="232" spans="1:30" x14ac:dyDescent="0.2">
      <c r="A232" s="3">
        <v>39995</v>
      </c>
      <c r="B232" s="2" t="s">
        <v>60</v>
      </c>
      <c r="C232" t="s">
        <v>7</v>
      </c>
      <c r="D232" t="s">
        <v>208</v>
      </c>
      <c r="E232" s="2">
        <v>45741</v>
      </c>
      <c r="F232" s="2" cm="1">
        <f t="array" ref="F232">_xlfn.IFS(B232="Owner Surrender",E232,B232="Stray",E232+6,B232="Stray w/identification",E232+11,B232="Bite",E232+10,B232="Other",E232+30,B232="BAS",E232+56,B232="Seized",E232)</f>
        <v>45771</v>
      </c>
      <c r="G232" s="2">
        <v>45743</v>
      </c>
      <c r="H232" s="5">
        <f t="shared" si="14"/>
        <v>2</v>
      </c>
      <c r="J232" s="2" t="s">
        <v>31</v>
      </c>
      <c r="K232" s="2" t="s">
        <v>143</v>
      </c>
      <c r="M232" t="s">
        <v>289</v>
      </c>
      <c r="AD232" s="33" t="str">
        <f t="shared" si="12"/>
        <v>Thursday</v>
      </c>
    </row>
    <row r="233" spans="1:30" x14ac:dyDescent="0.2">
      <c r="A233" s="3">
        <v>39996</v>
      </c>
      <c r="B233" s="2" t="s">
        <v>38</v>
      </c>
      <c r="C233" t="s">
        <v>7</v>
      </c>
      <c r="D233" t="s">
        <v>207</v>
      </c>
      <c r="E233" s="2">
        <v>45743</v>
      </c>
      <c r="F233" s="2" cm="1">
        <f t="array" ref="F233">_xlfn.IFS(B233="Owner Surrender",E233,B233="Stray",E233+6,B233="Stray w/identification",E233+11,B233="Bite",E233+10,B233="Other",Blank)</f>
        <v>45749</v>
      </c>
      <c r="G233" s="2">
        <v>45749</v>
      </c>
      <c r="H233" s="5">
        <f t="shared" si="14"/>
        <v>6</v>
      </c>
      <c r="I233" s="5">
        <f t="shared" ref="I233:I296" si="15">G233-F233</f>
        <v>0</v>
      </c>
      <c r="J233" s="2" t="s">
        <v>31</v>
      </c>
      <c r="K233" s="2" t="s">
        <v>588</v>
      </c>
      <c r="M233" t="s">
        <v>33</v>
      </c>
      <c r="AD233" s="33" t="str">
        <f t="shared" si="12"/>
        <v>Wednesday</v>
      </c>
    </row>
    <row r="234" spans="1:30" x14ac:dyDescent="0.2">
      <c r="A234" s="3">
        <v>39997</v>
      </c>
      <c r="B234" s="2" t="s">
        <v>38</v>
      </c>
      <c r="C234" t="s">
        <v>7</v>
      </c>
      <c r="D234" t="s">
        <v>207</v>
      </c>
      <c r="E234" s="2">
        <v>45743</v>
      </c>
      <c r="F234" s="2" cm="1">
        <f t="array" ref="F234">_xlfn.IFS(B234="Owner Surrender",E234,B234="Stray",E234+6,B234="Stray w/identification",E234+11,B234="Bite",E234+10,B234="Other",Blank)</f>
        <v>45749</v>
      </c>
      <c r="G234" s="2">
        <v>45749</v>
      </c>
      <c r="H234" s="5">
        <f t="shared" si="14"/>
        <v>6</v>
      </c>
      <c r="I234" s="5">
        <f t="shared" si="15"/>
        <v>0</v>
      </c>
      <c r="J234" s="2" t="s">
        <v>31</v>
      </c>
      <c r="K234" s="2" t="s">
        <v>588</v>
      </c>
      <c r="M234" t="s">
        <v>33</v>
      </c>
      <c r="AD234" s="33" t="str">
        <f t="shared" si="12"/>
        <v>Wednesday</v>
      </c>
    </row>
    <row r="235" spans="1:30" x14ac:dyDescent="0.2">
      <c r="A235" s="3">
        <v>40001</v>
      </c>
      <c r="B235" s="2" t="s">
        <v>38</v>
      </c>
      <c r="C235" t="s">
        <v>7</v>
      </c>
      <c r="D235" t="s">
        <v>207</v>
      </c>
      <c r="E235" s="2">
        <v>45743</v>
      </c>
      <c r="F235" s="2" cm="1">
        <f t="array" ref="F235">_xlfn.IFS(B235="Owner Surrender",E235,B235="Stray",E235+6,B235="Stray w/identification",E235+11,B235="Bite",E235+10,B235="Other",Blank)</f>
        <v>45749</v>
      </c>
      <c r="G235" s="2">
        <v>45749</v>
      </c>
      <c r="H235" s="5">
        <f t="shared" si="14"/>
        <v>6</v>
      </c>
      <c r="I235" s="5">
        <f t="shared" si="15"/>
        <v>0</v>
      </c>
      <c r="J235" s="2" t="s">
        <v>31</v>
      </c>
      <c r="K235" s="2" t="s">
        <v>588</v>
      </c>
      <c r="M235" t="s">
        <v>33</v>
      </c>
      <c r="AD235" s="33" t="str">
        <f t="shared" si="12"/>
        <v>Wednesday</v>
      </c>
    </row>
    <row r="236" spans="1:30" x14ac:dyDescent="0.2">
      <c r="A236" s="3">
        <v>40002</v>
      </c>
      <c r="B236" s="2" t="s">
        <v>38</v>
      </c>
      <c r="C236" t="s">
        <v>7</v>
      </c>
      <c r="D236" t="s">
        <v>207</v>
      </c>
      <c r="E236" s="2">
        <v>45743</v>
      </c>
      <c r="F236" s="2" cm="1">
        <f t="array" ref="F236">_xlfn.IFS(B236="Owner Surrender",E236,B236="Stray",E236+6,B236="Stray w/identification",E236+11,B236="Bite",E236+10,B236="Other",Blank)</f>
        <v>45749</v>
      </c>
      <c r="G236" s="2">
        <v>45749</v>
      </c>
      <c r="H236" s="5">
        <f t="shared" si="14"/>
        <v>6</v>
      </c>
      <c r="I236" s="5">
        <f t="shared" si="15"/>
        <v>0</v>
      </c>
      <c r="J236" s="2" t="s">
        <v>31</v>
      </c>
      <c r="K236" s="2" t="s">
        <v>588</v>
      </c>
      <c r="M236" t="s">
        <v>33</v>
      </c>
      <c r="AD236" s="33" t="str">
        <f t="shared" si="12"/>
        <v>Wednesday</v>
      </c>
    </row>
    <row r="237" spans="1:30" x14ac:dyDescent="0.2">
      <c r="A237" s="3">
        <v>40004</v>
      </c>
      <c r="B237" s="2" t="s">
        <v>38</v>
      </c>
      <c r="C237" t="s">
        <v>7</v>
      </c>
      <c r="D237" t="s">
        <v>207</v>
      </c>
      <c r="E237" s="2">
        <v>45743</v>
      </c>
      <c r="F237" s="2" cm="1">
        <f t="array" ref="F237">_xlfn.IFS(B237="Owner Surrender",E237,B237="Stray",E237+6,B237="Stray w/identification",E237+11,B237="Bite",E237+10,B237="Other",Blank)</f>
        <v>45749</v>
      </c>
      <c r="G237" s="2">
        <v>45751</v>
      </c>
      <c r="H237" s="5">
        <f t="shared" si="14"/>
        <v>8</v>
      </c>
      <c r="I237" s="5">
        <f t="shared" si="15"/>
        <v>2</v>
      </c>
      <c r="J237" s="2" t="s">
        <v>31</v>
      </c>
      <c r="K237" s="2" t="s">
        <v>587</v>
      </c>
      <c r="M237" t="s">
        <v>34</v>
      </c>
      <c r="AD237" s="33" t="str">
        <f t="shared" si="12"/>
        <v>Friday</v>
      </c>
    </row>
    <row r="238" spans="1:30" x14ac:dyDescent="0.2">
      <c r="A238" s="3">
        <v>40006</v>
      </c>
      <c r="B238" s="2" t="s">
        <v>36</v>
      </c>
      <c r="C238" t="s">
        <v>7</v>
      </c>
      <c r="D238" t="s">
        <v>207</v>
      </c>
      <c r="E238" s="2">
        <v>45744</v>
      </c>
      <c r="F238" s="2" cm="1">
        <f t="array" ref="F238">_xlfn.IFS(B238="Owner Surrender",E238,B238="Stray",E238+6,B238="Stray w/identification",E238+11,B238="Bite",E238+10,B238="Other",Blank)</f>
        <v>45744</v>
      </c>
      <c r="G238" s="2">
        <v>45757</v>
      </c>
      <c r="H238" s="5">
        <f t="shared" si="14"/>
        <v>13</v>
      </c>
      <c r="I238" s="5">
        <f t="shared" si="15"/>
        <v>13</v>
      </c>
      <c r="J238" s="2" t="s">
        <v>18</v>
      </c>
      <c r="K238" s="2" t="s">
        <v>586</v>
      </c>
      <c r="L238" t="s">
        <v>356</v>
      </c>
      <c r="M238" t="s">
        <v>34</v>
      </c>
      <c r="AD238" s="33" t="str">
        <f t="shared" si="12"/>
        <v>Thursday</v>
      </c>
    </row>
    <row r="239" spans="1:30" x14ac:dyDescent="0.2">
      <c r="A239" s="3">
        <v>40008</v>
      </c>
      <c r="B239" s="2" t="s">
        <v>38</v>
      </c>
      <c r="C239" t="s">
        <v>10</v>
      </c>
      <c r="D239" t="s">
        <v>207</v>
      </c>
      <c r="E239" s="2">
        <v>45744</v>
      </c>
      <c r="F239" s="2" cm="1">
        <f t="array" ref="F239">_xlfn.IFS(B239="Owner Surrender",E239,B239="Stray",E239+6,B239="Stray w/identification",E239+11,B239="Bite",E239+10,B239="Other",E239+30,B239="BAS",E239+56,B239="Seized",E239)</f>
        <v>45750</v>
      </c>
      <c r="G239" s="2">
        <v>45744</v>
      </c>
      <c r="H239" s="5">
        <f t="shared" si="14"/>
        <v>0</v>
      </c>
      <c r="I239" s="5">
        <f t="shared" si="15"/>
        <v>-6</v>
      </c>
      <c r="J239" s="2" t="s">
        <v>31</v>
      </c>
      <c r="K239" s="2" t="s">
        <v>588</v>
      </c>
      <c r="M239" t="s">
        <v>245</v>
      </c>
      <c r="AD239" s="33" t="str">
        <f t="shared" si="12"/>
        <v>Friday</v>
      </c>
    </row>
    <row r="240" spans="1:30" x14ac:dyDescent="0.2">
      <c r="A240" s="3">
        <v>40009</v>
      </c>
      <c r="B240" s="2" t="s">
        <v>36</v>
      </c>
      <c r="C240" t="s">
        <v>10</v>
      </c>
      <c r="D240" t="s">
        <v>209</v>
      </c>
      <c r="E240" s="2">
        <v>45744</v>
      </c>
      <c r="F240" s="2" cm="1">
        <f t="array" ref="F240">_xlfn.IFS(B240="Owner Surrender",E240,B240="Stray",E240+6,B240="Stray w/identification",E240+11,B240="Bite",E240+10,B240="Other",Blank)</f>
        <v>45744</v>
      </c>
      <c r="G240" s="2">
        <v>45757</v>
      </c>
      <c r="H240" s="5">
        <f t="shared" si="14"/>
        <v>13</v>
      </c>
      <c r="I240" s="5">
        <f t="shared" si="15"/>
        <v>13</v>
      </c>
      <c r="J240" s="2" t="s">
        <v>18</v>
      </c>
      <c r="K240" s="2" t="s">
        <v>586</v>
      </c>
      <c r="L240" t="s">
        <v>355</v>
      </c>
      <c r="AD240" s="33" t="str">
        <f t="shared" si="12"/>
        <v>Thursday</v>
      </c>
    </row>
    <row r="241" spans="1:30" x14ac:dyDescent="0.2">
      <c r="A241" s="3">
        <v>40010</v>
      </c>
      <c r="B241" s="2" t="s">
        <v>36</v>
      </c>
      <c r="C241" t="s">
        <v>10</v>
      </c>
      <c r="D241" t="s">
        <v>207</v>
      </c>
      <c r="E241" s="2">
        <v>45744</v>
      </c>
      <c r="F241" s="2" cm="1">
        <f t="array" ref="F241">_xlfn.IFS(B241="Owner Surrender",E241,B241="Stray",E241+6,B241="Stray w/identification",E241+11,B241="Bite",E241+10,B241="Other",Blank)</f>
        <v>45744</v>
      </c>
      <c r="G241" s="2">
        <v>45751</v>
      </c>
      <c r="H241" s="5">
        <f t="shared" si="14"/>
        <v>7</v>
      </c>
      <c r="I241" s="5">
        <f t="shared" si="15"/>
        <v>7</v>
      </c>
      <c r="J241" s="2" t="s">
        <v>31</v>
      </c>
      <c r="K241" s="2" t="s">
        <v>587</v>
      </c>
      <c r="M241" t="s">
        <v>322</v>
      </c>
      <c r="AD241" s="33" t="str">
        <f t="shared" si="12"/>
        <v>Friday</v>
      </c>
    </row>
    <row r="242" spans="1:30" x14ac:dyDescent="0.2">
      <c r="A242" s="3">
        <v>40013</v>
      </c>
      <c r="B242" s="2" t="s">
        <v>36</v>
      </c>
      <c r="C242" t="s">
        <v>7</v>
      </c>
      <c r="D242" t="s">
        <v>210</v>
      </c>
      <c r="E242" s="2">
        <v>45744</v>
      </c>
      <c r="F242" s="2" cm="1">
        <f t="array" ref="F242">_xlfn.IFS(B242="Owner Surrender",E242,B242="Stray",E242+6,B242="Stray w/identification",E242+11,B242="Bite",E242+10,B242="Other",E242+30,B242="BAS",E242+56,B242="Seized",E242)</f>
        <v>45744</v>
      </c>
      <c r="G242" s="2">
        <v>45744</v>
      </c>
      <c r="H242" s="5">
        <f t="shared" si="14"/>
        <v>0</v>
      </c>
      <c r="I242" s="5">
        <f t="shared" si="15"/>
        <v>0</v>
      </c>
      <c r="J242" s="2" t="s">
        <v>31</v>
      </c>
      <c r="K242" s="2" t="s">
        <v>589</v>
      </c>
      <c r="M242" t="s">
        <v>45</v>
      </c>
      <c r="AD242" s="33" t="str">
        <f t="shared" si="12"/>
        <v>Friday</v>
      </c>
    </row>
    <row r="243" spans="1:30" x14ac:dyDescent="0.2">
      <c r="A243" s="3">
        <v>40022</v>
      </c>
      <c r="B243" s="2" t="s">
        <v>38</v>
      </c>
      <c r="C243" t="s">
        <v>7</v>
      </c>
      <c r="D243" t="s">
        <v>207</v>
      </c>
      <c r="E243" s="2">
        <v>45745</v>
      </c>
      <c r="F243" s="2" cm="1">
        <f t="array" ref="F243">_xlfn.IFS(B243="Owner Surrender",E243,B243="Stray",E243+6,B243="Stray w/identification",E243+11,B243="Bite",E243+10,B243="Other",Blank)</f>
        <v>45751</v>
      </c>
      <c r="G243" s="2">
        <v>45757</v>
      </c>
      <c r="H243" s="5">
        <f t="shared" si="14"/>
        <v>12</v>
      </c>
      <c r="I243" s="5">
        <f t="shared" si="15"/>
        <v>6</v>
      </c>
      <c r="J243" s="2" t="s">
        <v>18</v>
      </c>
      <c r="K243" s="2" t="s">
        <v>586</v>
      </c>
      <c r="L243" t="s">
        <v>354</v>
      </c>
      <c r="AD243" s="33" t="str">
        <f t="shared" si="12"/>
        <v>Thursday</v>
      </c>
    </row>
    <row r="244" spans="1:30" x14ac:dyDescent="0.2">
      <c r="A244" s="3">
        <v>40023</v>
      </c>
      <c r="B244" s="2" t="s">
        <v>36</v>
      </c>
      <c r="C244" t="s">
        <v>10</v>
      </c>
      <c r="D244" t="s">
        <v>208</v>
      </c>
      <c r="E244" s="2">
        <v>45745</v>
      </c>
      <c r="F244" s="2" cm="1">
        <f t="array" ref="F244">_xlfn.IFS(B244="Owner Surrender",E244,B244="Stray",E244+6,B244="Stray w/identification",E244+11,B244="Bite",E244+10,B244="Other",Blank)</f>
        <v>45745</v>
      </c>
      <c r="G244" s="2">
        <v>45771</v>
      </c>
      <c r="H244" s="5">
        <f t="shared" si="14"/>
        <v>26</v>
      </c>
      <c r="I244" s="5">
        <f t="shared" si="15"/>
        <v>26</v>
      </c>
      <c r="J244" s="2" t="s">
        <v>11</v>
      </c>
      <c r="K244" s="2" t="s">
        <v>586</v>
      </c>
      <c r="L244" t="s">
        <v>353</v>
      </c>
      <c r="AD244" s="33" t="str">
        <f t="shared" si="12"/>
        <v>Thursday</v>
      </c>
    </row>
    <row r="245" spans="1:30" x14ac:dyDescent="0.2">
      <c r="A245" s="3">
        <v>40026</v>
      </c>
      <c r="B245" s="2" t="s">
        <v>36</v>
      </c>
      <c r="C245" t="s">
        <v>7</v>
      </c>
      <c r="D245" t="s">
        <v>207</v>
      </c>
      <c r="E245" s="2">
        <v>45747</v>
      </c>
      <c r="F245" s="2" cm="1">
        <f t="array" ref="F245">_xlfn.IFS(B245="Owner Surrender",E245,B245="Stray",E245+6,B245="Stray w/identification",E245+11,B245="Bite",E245+10,B245="Other",Blank)</f>
        <v>45747</v>
      </c>
      <c r="G245" s="2">
        <v>45751</v>
      </c>
      <c r="H245" s="5">
        <f t="shared" si="14"/>
        <v>4</v>
      </c>
      <c r="I245" s="5">
        <f t="shared" si="15"/>
        <v>4</v>
      </c>
      <c r="J245" s="2" t="s">
        <v>31</v>
      </c>
      <c r="K245" s="2" t="s">
        <v>587</v>
      </c>
      <c r="AD245" s="33" t="str">
        <f t="shared" si="12"/>
        <v>Friday</v>
      </c>
    </row>
    <row r="246" spans="1:30" x14ac:dyDescent="0.2">
      <c r="A246" s="3">
        <v>40027</v>
      </c>
      <c r="B246" s="2" t="s">
        <v>36</v>
      </c>
      <c r="C246" t="s">
        <v>7</v>
      </c>
      <c r="D246" t="s">
        <v>207</v>
      </c>
      <c r="E246" s="2">
        <v>45747</v>
      </c>
      <c r="F246" s="2" cm="1">
        <f t="array" ref="F246">_xlfn.IFS(B246="Owner Surrender",E246,B246="Stray",E246+6,B246="Stray w/identification",E246+11,B246="Bite",E246+10,B246="Other",Blank)</f>
        <v>45747</v>
      </c>
      <c r="G246" s="2">
        <v>45751</v>
      </c>
      <c r="H246" s="5">
        <f t="shared" si="14"/>
        <v>4</v>
      </c>
      <c r="I246" s="5">
        <f t="shared" si="15"/>
        <v>4</v>
      </c>
      <c r="J246" s="2" t="s">
        <v>31</v>
      </c>
      <c r="K246" s="2" t="s">
        <v>587</v>
      </c>
      <c r="AD246" s="33" t="str">
        <f t="shared" si="12"/>
        <v>Friday</v>
      </c>
    </row>
    <row r="247" spans="1:30" x14ac:dyDescent="0.2">
      <c r="A247" s="3">
        <v>40032</v>
      </c>
      <c r="B247" s="2" t="s">
        <v>36</v>
      </c>
      <c r="C247" t="s">
        <v>10</v>
      </c>
      <c r="D247" t="s">
        <v>207</v>
      </c>
      <c r="E247" s="2">
        <v>45747</v>
      </c>
      <c r="F247" s="2" cm="1">
        <f t="array" ref="F247">_xlfn.IFS(B247="Owner Surrender",E247,B247="Stray",E247+6,B247="Stray w/identification",E247+11,B247="Bite",E247+10,B247="Other",Blank)</f>
        <v>45747</v>
      </c>
      <c r="G247" s="2">
        <v>45757</v>
      </c>
      <c r="H247" s="5">
        <f t="shared" si="14"/>
        <v>10</v>
      </c>
      <c r="I247" s="5">
        <f t="shared" si="15"/>
        <v>10</v>
      </c>
      <c r="J247" s="2" t="s">
        <v>18</v>
      </c>
      <c r="K247" s="2" t="s">
        <v>586</v>
      </c>
      <c r="L247" t="s">
        <v>352</v>
      </c>
      <c r="AD247" s="33" t="str">
        <f t="shared" si="12"/>
        <v>Thursday</v>
      </c>
    </row>
    <row r="248" spans="1:30" x14ac:dyDescent="0.2">
      <c r="A248" s="3">
        <v>40034</v>
      </c>
      <c r="B248" s="2" t="s">
        <v>38</v>
      </c>
      <c r="C248" t="s">
        <v>7</v>
      </c>
      <c r="D248" t="s">
        <v>207</v>
      </c>
      <c r="E248" s="2">
        <v>45746</v>
      </c>
      <c r="F248" s="2" cm="1">
        <f t="array" ref="F248">_xlfn.IFS(B248="Owner Surrender",E248,B248="Stray",E248+6,B248="Stray w/identification",E248+11,B248="Bite",E248+10,B248="Other",Blank)</f>
        <v>45752</v>
      </c>
      <c r="G248" s="2">
        <v>45757</v>
      </c>
      <c r="H248" s="5">
        <f t="shared" si="14"/>
        <v>11</v>
      </c>
      <c r="I248" s="5">
        <f t="shared" si="15"/>
        <v>5</v>
      </c>
      <c r="J248" s="2" t="s">
        <v>18</v>
      </c>
      <c r="K248" s="2" t="s">
        <v>586</v>
      </c>
      <c r="L248" t="s">
        <v>351</v>
      </c>
      <c r="AD248" s="33" t="str">
        <f t="shared" si="12"/>
        <v>Thursday</v>
      </c>
    </row>
    <row r="249" spans="1:30" x14ac:dyDescent="0.2">
      <c r="A249" s="3">
        <v>40035</v>
      </c>
      <c r="B249" s="2" t="s">
        <v>38</v>
      </c>
      <c r="C249" t="s">
        <v>7</v>
      </c>
      <c r="D249" t="s">
        <v>207</v>
      </c>
      <c r="E249" s="2">
        <v>45746</v>
      </c>
      <c r="F249" s="2" cm="1">
        <f t="array" ref="F249">_xlfn.IFS(B249="Owner Surrender",E249,B249="Stray",E249+6,B249="Stray w/identification",E249+11,B249="Bite",E249+10,B249="Other",Blank)</f>
        <v>45752</v>
      </c>
      <c r="G249" s="2">
        <v>45757</v>
      </c>
      <c r="H249" s="5">
        <f t="shared" si="14"/>
        <v>11</v>
      </c>
      <c r="I249" s="5">
        <f t="shared" si="15"/>
        <v>5</v>
      </c>
      <c r="J249" s="2" t="s">
        <v>18</v>
      </c>
      <c r="K249" s="2" t="s">
        <v>586</v>
      </c>
      <c r="L249" t="s">
        <v>350</v>
      </c>
      <c r="AD249" s="33" t="str">
        <f t="shared" si="12"/>
        <v>Thursday</v>
      </c>
    </row>
    <row r="250" spans="1:30" x14ac:dyDescent="0.2">
      <c r="A250" s="3">
        <v>40037</v>
      </c>
      <c r="B250" s="2" t="s">
        <v>38</v>
      </c>
      <c r="C250" t="s">
        <v>7</v>
      </c>
      <c r="D250" t="s">
        <v>207</v>
      </c>
      <c r="E250" s="2">
        <v>45746</v>
      </c>
      <c r="F250" s="2" cm="1">
        <f t="array" ref="F250">_xlfn.IFS(B250="Owner Surrender",E250,B250="Stray",E250+6,B250="Stray w/identification",E250+11,B250="Bite",E250+10,B250="Other",Blank)</f>
        <v>45752</v>
      </c>
      <c r="G250" s="2">
        <v>45757</v>
      </c>
      <c r="H250" s="5">
        <f t="shared" si="14"/>
        <v>11</v>
      </c>
      <c r="I250" s="5">
        <f t="shared" si="15"/>
        <v>5</v>
      </c>
      <c r="J250" s="2" t="s">
        <v>18</v>
      </c>
      <c r="K250" s="2" t="s">
        <v>586</v>
      </c>
      <c r="AD250" s="33" t="str">
        <f t="shared" si="12"/>
        <v>Thursday</v>
      </c>
    </row>
    <row r="251" spans="1:30" x14ac:dyDescent="0.2">
      <c r="A251" s="3">
        <v>40038</v>
      </c>
      <c r="B251" s="2" t="s">
        <v>36</v>
      </c>
      <c r="C251" t="s">
        <v>7</v>
      </c>
      <c r="D251" t="s">
        <v>207</v>
      </c>
      <c r="E251" s="2">
        <v>45746</v>
      </c>
      <c r="F251" s="2" cm="1">
        <f t="array" ref="F251">_xlfn.IFS(B251="Owner Surrender",E251,B251="Stray",E251+6,B251="Stray w/identification",E251+11,B251="Bite",E251+10,B251="Other",Blank)</f>
        <v>45746</v>
      </c>
      <c r="G251" s="2">
        <v>45757</v>
      </c>
      <c r="H251" s="5">
        <f t="shared" si="14"/>
        <v>11</v>
      </c>
      <c r="I251" s="5">
        <f t="shared" si="15"/>
        <v>11</v>
      </c>
      <c r="J251" s="2" t="s">
        <v>18</v>
      </c>
      <c r="K251" s="2" t="s">
        <v>586</v>
      </c>
      <c r="AD251" s="33" t="str">
        <f t="shared" si="12"/>
        <v>Thursday</v>
      </c>
    </row>
    <row r="252" spans="1:30" x14ac:dyDescent="0.2">
      <c r="A252" s="3">
        <v>40041</v>
      </c>
      <c r="B252" s="2" t="s">
        <v>38</v>
      </c>
      <c r="C252" t="s">
        <v>7</v>
      </c>
      <c r="D252" t="s">
        <v>208</v>
      </c>
      <c r="E252" s="2">
        <v>45747</v>
      </c>
      <c r="F252" s="2" cm="1">
        <f t="array" ref="F252">_xlfn.IFS(B252="Owner Surrender",E252,B252="Stray",E252+6,B252="Stray w/identification",E252+11,B252="Bite",E252+10,B252="Other",Blank)</f>
        <v>45753</v>
      </c>
      <c r="G252" s="2">
        <v>45757</v>
      </c>
      <c r="H252" s="5">
        <f t="shared" si="14"/>
        <v>10</v>
      </c>
      <c r="I252" s="5">
        <f t="shared" si="15"/>
        <v>4</v>
      </c>
      <c r="J252" s="2" t="s">
        <v>31</v>
      </c>
      <c r="K252" s="2" t="s">
        <v>588</v>
      </c>
      <c r="M252" t="s">
        <v>33</v>
      </c>
      <c r="AD252" s="33" t="str">
        <f t="shared" si="12"/>
        <v>Thursday</v>
      </c>
    </row>
    <row r="253" spans="1:30" x14ac:dyDescent="0.2">
      <c r="A253" s="3">
        <v>40042</v>
      </c>
      <c r="B253" s="2" t="s">
        <v>38</v>
      </c>
      <c r="C253" t="s">
        <v>7</v>
      </c>
      <c r="D253" t="s">
        <v>208</v>
      </c>
      <c r="E253" s="2">
        <v>45747</v>
      </c>
      <c r="F253" s="2" cm="1">
        <f t="array" ref="F253">_xlfn.IFS(B253="Owner Surrender",E253,B253="Stray",E253+6,B253="Stray w/identification",E253+11,B253="Bite",E253+10,B253="Other",Blank)</f>
        <v>45753</v>
      </c>
      <c r="G253" s="2">
        <v>45757</v>
      </c>
      <c r="H253" s="5">
        <f t="shared" si="14"/>
        <v>10</v>
      </c>
      <c r="I253" s="5">
        <f t="shared" si="15"/>
        <v>4</v>
      </c>
      <c r="J253" s="2" t="s">
        <v>31</v>
      </c>
      <c r="K253" s="2" t="s">
        <v>24</v>
      </c>
      <c r="M253" t="s">
        <v>24</v>
      </c>
      <c r="AD253" s="33" t="str">
        <f t="shared" si="12"/>
        <v>Thursday</v>
      </c>
    </row>
    <row r="254" spans="1:30" x14ac:dyDescent="0.2">
      <c r="A254" s="3">
        <v>40043</v>
      </c>
      <c r="B254" s="2" t="s">
        <v>38</v>
      </c>
      <c r="C254" t="s">
        <v>7</v>
      </c>
      <c r="D254" t="s">
        <v>208</v>
      </c>
      <c r="E254" s="2">
        <v>45747</v>
      </c>
      <c r="F254" s="2" cm="1">
        <f t="array" ref="F254">_xlfn.IFS(B254="Owner Surrender",E254,B254="Stray",E254+6,B254="Stray w/identification",E254+11,B254="Bite",E254+10,B254="Other",Blank)</f>
        <v>45753</v>
      </c>
      <c r="G254" s="2">
        <v>45755</v>
      </c>
      <c r="H254" s="5">
        <f t="shared" si="14"/>
        <v>8</v>
      </c>
      <c r="I254" s="5">
        <f t="shared" si="15"/>
        <v>2</v>
      </c>
      <c r="J254" s="2" t="s">
        <v>28</v>
      </c>
      <c r="K254" s="2" t="s">
        <v>586</v>
      </c>
      <c r="M254" t="s">
        <v>111</v>
      </c>
      <c r="AD254" s="33" t="str">
        <f t="shared" si="12"/>
        <v>Tuesday</v>
      </c>
    </row>
    <row r="255" spans="1:30" x14ac:dyDescent="0.2">
      <c r="A255" s="3">
        <v>40044</v>
      </c>
      <c r="B255" s="2" t="s">
        <v>38</v>
      </c>
      <c r="C255" t="s">
        <v>7</v>
      </c>
      <c r="D255" t="s">
        <v>208</v>
      </c>
      <c r="E255" s="2">
        <v>45747</v>
      </c>
      <c r="F255" s="2" cm="1">
        <f t="array" ref="F255">_xlfn.IFS(B255="Owner Surrender",E255,B255="Stray",E255+6,B255="Stray w/identification",E255+11,B255="Bite",E255+10,B255="Other",Blank)</f>
        <v>45753</v>
      </c>
      <c r="G255" s="2">
        <v>45757</v>
      </c>
      <c r="H255" s="5">
        <f t="shared" si="14"/>
        <v>10</v>
      </c>
      <c r="I255" s="5">
        <f t="shared" si="15"/>
        <v>4</v>
      </c>
      <c r="J255" s="2" t="s">
        <v>31</v>
      </c>
      <c r="K255" s="2" t="s">
        <v>588</v>
      </c>
      <c r="M255" t="s">
        <v>349</v>
      </c>
      <c r="AD255" s="33" t="str">
        <f t="shared" si="12"/>
        <v>Thursday</v>
      </c>
    </row>
    <row r="256" spans="1:30" x14ac:dyDescent="0.2">
      <c r="A256" s="3">
        <v>40047</v>
      </c>
      <c r="B256" s="2" t="s">
        <v>38</v>
      </c>
      <c r="C256" t="s">
        <v>7</v>
      </c>
      <c r="D256" t="s">
        <v>208</v>
      </c>
      <c r="E256" s="2">
        <v>45746</v>
      </c>
      <c r="F256" s="2" cm="1">
        <f t="array" ref="F256">_xlfn.IFS(B256="Owner Surrender",E256,B256="Stray",E256+6,B256="Stray w/identification",E256+11,B256="Bite",E256+10,B256="Other",Blank)</f>
        <v>45752</v>
      </c>
      <c r="G256" s="2">
        <v>45757</v>
      </c>
      <c r="H256" s="5">
        <f t="shared" si="14"/>
        <v>11</v>
      </c>
      <c r="I256" s="5">
        <f t="shared" si="15"/>
        <v>5</v>
      </c>
      <c r="J256" s="2" t="s">
        <v>31</v>
      </c>
      <c r="K256" s="2" t="s">
        <v>143</v>
      </c>
      <c r="M256" t="s">
        <v>40</v>
      </c>
      <c r="AD256" s="33" t="str">
        <f t="shared" si="12"/>
        <v>Thursday</v>
      </c>
    </row>
    <row r="257" spans="1:30" x14ac:dyDescent="0.2">
      <c r="A257" s="3">
        <v>40048</v>
      </c>
      <c r="B257" s="2" t="s">
        <v>38</v>
      </c>
      <c r="C257" t="s">
        <v>7</v>
      </c>
      <c r="D257" t="s">
        <v>208</v>
      </c>
      <c r="E257" s="2">
        <v>45746</v>
      </c>
      <c r="F257" s="2" cm="1">
        <f t="array" ref="F257">_xlfn.IFS(B257="Owner Surrender",E257,B257="Stray",E257+6,B257="Stray w/identification",E257+11,B257="Bite",E257+10,B257="Other",Blank)</f>
        <v>45752</v>
      </c>
      <c r="G257" s="2">
        <v>45756</v>
      </c>
      <c r="H257" s="5">
        <f t="shared" si="14"/>
        <v>10</v>
      </c>
      <c r="I257" s="5">
        <f t="shared" si="15"/>
        <v>4</v>
      </c>
      <c r="J257" s="2" t="s">
        <v>31</v>
      </c>
      <c r="K257" s="2" t="s">
        <v>143</v>
      </c>
      <c r="M257" t="s">
        <v>40</v>
      </c>
      <c r="AD257" s="33" t="str">
        <f t="shared" si="12"/>
        <v>Wednesday</v>
      </c>
    </row>
    <row r="258" spans="1:30" x14ac:dyDescent="0.2">
      <c r="A258" s="3">
        <v>40049</v>
      </c>
      <c r="B258" s="2" t="s">
        <v>38</v>
      </c>
      <c r="C258" t="s">
        <v>7</v>
      </c>
      <c r="D258" t="s">
        <v>208</v>
      </c>
      <c r="E258" s="2">
        <v>45746</v>
      </c>
      <c r="F258" s="2" cm="1">
        <f t="array" ref="F258">_xlfn.IFS(B258="Owner Surrender",E258,B258="Stray",E258+6,B258="Stray w/identification",E258+11,B258="Bite",E258+10,B258="Other",Blank)</f>
        <v>45752</v>
      </c>
      <c r="G258" s="2">
        <v>45757</v>
      </c>
      <c r="H258" s="5">
        <f t="shared" si="14"/>
        <v>11</v>
      </c>
      <c r="I258" s="5">
        <f t="shared" si="15"/>
        <v>5</v>
      </c>
      <c r="J258" s="2" t="s">
        <v>31</v>
      </c>
      <c r="K258" s="2" t="s">
        <v>143</v>
      </c>
      <c r="M258" t="s">
        <v>40</v>
      </c>
      <c r="AD258" s="33" t="str">
        <f t="shared" si="12"/>
        <v>Thursday</v>
      </c>
    </row>
    <row r="259" spans="1:30" x14ac:dyDescent="0.2">
      <c r="A259" s="3">
        <v>40050</v>
      </c>
      <c r="B259" s="2" t="s">
        <v>38</v>
      </c>
      <c r="C259" t="s">
        <v>7</v>
      </c>
      <c r="D259" t="s">
        <v>208</v>
      </c>
      <c r="E259" s="2">
        <v>45746</v>
      </c>
      <c r="F259" s="2" cm="1">
        <f t="array" ref="F259">_xlfn.IFS(B259="Owner Surrender",E259,B259="Stray",E259+6,B259="Stray w/identification",E259+11,B259="Bite",E259+10,B259="Other",Blank)</f>
        <v>45752</v>
      </c>
      <c r="G259" s="2">
        <v>45757</v>
      </c>
      <c r="H259" s="5">
        <f t="shared" si="14"/>
        <v>11</v>
      </c>
      <c r="I259" s="5">
        <f t="shared" si="15"/>
        <v>5</v>
      </c>
      <c r="J259" s="2" t="s">
        <v>31</v>
      </c>
      <c r="K259" s="2" t="s">
        <v>143</v>
      </c>
      <c r="M259" t="s">
        <v>40</v>
      </c>
      <c r="AD259" s="33" t="str">
        <f t="shared" si="12"/>
        <v>Thursday</v>
      </c>
    </row>
    <row r="260" spans="1:30" x14ac:dyDescent="0.2">
      <c r="A260" s="3">
        <v>40051</v>
      </c>
      <c r="B260" s="2" t="s">
        <v>38</v>
      </c>
      <c r="C260" t="s">
        <v>7</v>
      </c>
      <c r="D260" t="s">
        <v>208</v>
      </c>
      <c r="E260" s="2">
        <v>45746</v>
      </c>
      <c r="F260" s="2" cm="1">
        <f t="array" ref="F260">_xlfn.IFS(B260="Owner Surrender",E260,B260="Stray",E260+6,B260="Stray w/identification",E260+11,B260="Bite",E260+10,B260="Other",Blank)</f>
        <v>45752</v>
      </c>
      <c r="G260" s="2">
        <v>45757</v>
      </c>
      <c r="H260" s="5">
        <f t="shared" si="14"/>
        <v>11</v>
      </c>
      <c r="I260" s="5">
        <f t="shared" si="15"/>
        <v>5</v>
      </c>
      <c r="J260" s="2" t="s">
        <v>31</v>
      </c>
      <c r="K260" s="2" t="s">
        <v>143</v>
      </c>
      <c r="M260" t="s">
        <v>40</v>
      </c>
      <c r="AD260" s="33" t="str">
        <f t="shared" ref="AD260:AD323" si="16">TEXT(G260,"DDDD")</f>
        <v>Thursday</v>
      </c>
    </row>
    <row r="261" spans="1:30" x14ac:dyDescent="0.2">
      <c r="A261" s="3">
        <v>40052</v>
      </c>
      <c r="B261" s="2" t="s">
        <v>38</v>
      </c>
      <c r="C261" t="s">
        <v>7</v>
      </c>
      <c r="D261" t="s">
        <v>208</v>
      </c>
      <c r="E261" s="2">
        <v>45746</v>
      </c>
      <c r="F261" s="2" cm="1">
        <f t="array" ref="F261">_xlfn.IFS(B261="Owner Surrender",E261,B261="Stray",E261+6,B261="Stray w/identification",E261+11,B261="Bite",E261+10,B261="Other",Blank)</f>
        <v>45752</v>
      </c>
      <c r="G261" s="2">
        <v>45757</v>
      </c>
      <c r="H261" s="5">
        <f t="shared" si="14"/>
        <v>11</v>
      </c>
      <c r="I261" s="5">
        <f t="shared" si="15"/>
        <v>5</v>
      </c>
      <c r="J261" s="2" t="s">
        <v>31</v>
      </c>
      <c r="K261" s="2" t="s">
        <v>143</v>
      </c>
      <c r="M261" t="s">
        <v>40</v>
      </c>
      <c r="AD261" s="33" t="str">
        <f t="shared" si="16"/>
        <v>Thursday</v>
      </c>
    </row>
    <row r="262" spans="1:30" x14ac:dyDescent="0.2">
      <c r="A262" s="3">
        <v>40055</v>
      </c>
      <c r="B262" s="2" t="s">
        <v>38</v>
      </c>
      <c r="C262" t="s">
        <v>10</v>
      </c>
      <c r="D262" t="s">
        <v>207</v>
      </c>
      <c r="E262" s="2">
        <v>45748</v>
      </c>
      <c r="F262" s="2" cm="1">
        <f t="array" ref="F262">_xlfn.IFS(B262="Owner Surrender",E262,B262="Stray",E262+6,B262="Stray w/identification",E262+11,B262="Bite",E262+10,B262="Other",Blank)</f>
        <v>45754</v>
      </c>
      <c r="G262" s="2">
        <v>45757</v>
      </c>
      <c r="H262" s="5">
        <f t="shared" si="14"/>
        <v>9</v>
      </c>
      <c r="I262" s="5">
        <f t="shared" si="15"/>
        <v>3</v>
      </c>
      <c r="J262" s="2" t="s">
        <v>31</v>
      </c>
      <c r="K262" s="2" t="s">
        <v>587</v>
      </c>
      <c r="AD262" s="33" t="str">
        <f t="shared" si="16"/>
        <v>Thursday</v>
      </c>
    </row>
    <row r="263" spans="1:30" x14ac:dyDescent="0.2">
      <c r="A263" s="3">
        <v>40056</v>
      </c>
      <c r="B263" s="2" t="s">
        <v>38</v>
      </c>
      <c r="C263" t="s">
        <v>7</v>
      </c>
      <c r="D263" t="s">
        <v>208</v>
      </c>
      <c r="E263" s="2">
        <v>45748</v>
      </c>
      <c r="F263" s="2" cm="1">
        <f t="array" ref="F263">_xlfn.IFS(B263="Owner Surrender",E263,B263="Stray",E263+6,B263="Stray w/identification",E263+11,B263="Bite",E263+10,B263="Other",Blank)</f>
        <v>45754</v>
      </c>
      <c r="G263" s="2">
        <v>45757</v>
      </c>
      <c r="H263" s="5">
        <f t="shared" si="14"/>
        <v>9</v>
      </c>
      <c r="I263" s="5">
        <f t="shared" si="15"/>
        <v>3</v>
      </c>
      <c r="J263" s="2" t="s">
        <v>18</v>
      </c>
      <c r="K263" s="2" t="s">
        <v>586</v>
      </c>
      <c r="AD263" s="33" t="str">
        <f t="shared" si="16"/>
        <v>Thursday</v>
      </c>
    </row>
    <row r="264" spans="1:30" x14ac:dyDescent="0.2">
      <c r="A264" s="3">
        <v>40057</v>
      </c>
      <c r="B264" s="2" t="s">
        <v>38</v>
      </c>
      <c r="C264" t="s">
        <v>7</v>
      </c>
      <c r="D264" t="s">
        <v>208</v>
      </c>
      <c r="E264" s="2">
        <v>45748</v>
      </c>
      <c r="F264" s="2" cm="1">
        <f t="array" ref="F264">_xlfn.IFS(B264="Owner Surrender",E264,B264="Stray",E264+6,B264="Stray w/identification",E264+11,B264="Bite",E264+10,B264="Other",Blank)</f>
        <v>45754</v>
      </c>
      <c r="G264" s="2">
        <v>45757</v>
      </c>
      <c r="H264" s="5">
        <f t="shared" si="14"/>
        <v>9</v>
      </c>
      <c r="I264" s="5">
        <f t="shared" si="15"/>
        <v>3</v>
      </c>
      <c r="J264" s="2" t="s">
        <v>18</v>
      </c>
      <c r="K264" s="2" t="s">
        <v>586</v>
      </c>
      <c r="AD264" s="33" t="str">
        <f t="shared" si="16"/>
        <v>Thursday</v>
      </c>
    </row>
    <row r="265" spans="1:30" x14ac:dyDescent="0.2">
      <c r="A265" s="3">
        <v>40058</v>
      </c>
      <c r="B265" s="2" t="s">
        <v>38</v>
      </c>
      <c r="C265" t="s">
        <v>7</v>
      </c>
      <c r="D265" t="s">
        <v>208</v>
      </c>
      <c r="E265" s="2">
        <v>45748</v>
      </c>
      <c r="F265" s="2" cm="1">
        <f t="array" ref="F265">_xlfn.IFS(B265="Owner Surrender",E265,B265="Stray",E265+6,B265="Stray w/identification",E265+11,B265="Bite",E265+10,B265="Other",Blank)</f>
        <v>45754</v>
      </c>
      <c r="G265" s="2">
        <v>45757</v>
      </c>
      <c r="H265" s="5">
        <f t="shared" si="14"/>
        <v>9</v>
      </c>
      <c r="I265" s="5">
        <f t="shared" si="15"/>
        <v>3</v>
      </c>
      <c r="J265" s="2" t="s">
        <v>18</v>
      </c>
      <c r="K265" s="2" t="s">
        <v>586</v>
      </c>
      <c r="AD265" s="33" t="str">
        <f t="shared" si="16"/>
        <v>Thursday</v>
      </c>
    </row>
    <row r="266" spans="1:30" x14ac:dyDescent="0.2">
      <c r="A266" s="3">
        <v>40059</v>
      </c>
      <c r="B266" s="2" t="s">
        <v>38</v>
      </c>
      <c r="C266" t="s">
        <v>7</v>
      </c>
      <c r="D266" t="s">
        <v>208</v>
      </c>
      <c r="E266" s="2">
        <v>45748</v>
      </c>
      <c r="F266" s="2" cm="1">
        <f t="array" ref="F266">_xlfn.IFS(B266="Owner Surrender",E266,B266="Stray",E266+6,B266="Stray w/identification",E266+11,B266="Bite",E266+10,B266="Other",Blank)</f>
        <v>45754</v>
      </c>
      <c r="G266" s="2">
        <v>45757</v>
      </c>
      <c r="H266" s="5">
        <f t="shared" si="14"/>
        <v>9</v>
      </c>
      <c r="I266" s="5">
        <f t="shared" si="15"/>
        <v>3</v>
      </c>
      <c r="J266" s="2" t="s">
        <v>18</v>
      </c>
      <c r="K266" s="2" t="s">
        <v>586</v>
      </c>
      <c r="AD266" s="33" t="str">
        <f t="shared" si="16"/>
        <v>Thursday</v>
      </c>
    </row>
    <row r="267" spans="1:30" x14ac:dyDescent="0.2">
      <c r="A267" s="3">
        <v>40060</v>
      </c>
      <c r="B267" s="2" t="s">
        <v>38</v>
      </c>
      <c r="C267" t="s">
        <v>7</v>
      </c>
      <c r="D267" t="s">
        <v>208</v>
      </c>
      <c r="E267" s="2">
        <v>45748</v>
      </c>
      <c r="F267" s="2" cm="1">
        <f t="array" ref="F267">_xlfn.IFS(B267="Owner Surrender",E267,B267="Stray",E267+6,B267="Stray w/identification",E267+11,B267="Bite",E267+10,B267="Other",Blank)</f>
        <v>45754</v>
      </c>
      <c r="G267" s="2">
        <v>45757</v>
      </c>
      <c r="H267" s="5">
        <f t="shared" si="14"/>
        <v>9</v>
      </c>
      <c r="I267" s="5">
        <f t="shared" si="15"/>
        <v>3</v>
      </c>
      <c r="J267" s="2" t="s">
        <v>18</v>
      </c>
      <c r="K267" s="2" t="s">
        <v>586</v>
      </c>
      <c r="AD267" s="33" t="str">
        <f t="shared" si="16"/>
        <v>Thursday</v>
      </c>
    </row>
    <row r="268" spans="1:30" x14ac:dyDescent="0.2">
      <c r="A268" s="3">
        <v>40061</v>
      </c>
      <c r="B268" s="2" t="s">
        <v>38</v>
      </c>
      <c r="C268" t="s">
        <v>7</v>
      </c>
      <c r="D268" t="s">
        <v>208</v>
      </c>
      <c r="E268" s="2">
        <v>45748</v>
      </c>
      <c r="F268" s="2" cm="1">
        <f t="array" ref="F268">_xlfn.IFS(B268="Owner Surrender",E268,B268="Stray",E268+6,B268="Stray w/identification",E268+11,B268="Bite",E268+10,B268="Other",Blank)</f>
        <v>45754</v>
      </c>
      <c r="G268" s="2">
        <v>45757</v>
      </c>
      <c r="H268" s="5">
        <f t="shared" si="14"/>
        <v>9</v>
      </c>
      <c r="I268" s="5">
        <f t="shared" si="15"/>
        <v>3</v>
      </c>
      <c r="J268" s="2" t="s">
        <v>18</v>
      </c>
      <c r="K268" s="2" t="s">
        <v>586</v>
      </c>
      <c r="AD268" s="33" t="str">
        <f t="shared" si="16"/>
        <v>Thursday</v>
      </c>
    </row>
    <row r="269" spans="1:30" x14ac:dyDescent="0.2">
      <c r="A269" s="3">
        <v>40062</v>
      </c>
      <c r="B269" s="2" t="s">
        <v>36</v>
      </c>
      <c r="C269" t="s">
        <v>7</v>
      </c>
      <c r="D269" t="s">
        <v>207</v>
      </c>
      <c r="E269" s="2">
        <v>45748</v>
      </c>
      <c r="F269" s="2" cm="1">
        <f t="array" ref="F269">_xlfn.IFS(B269="Owner Surrender",E269,B269="Stray",E269+6,B269="Stray w/identification",E269+11,B269="Bite",E269+10,B269="Other",Blank)</f>
        <v>45748</v>
      </c>
      <c r="G269" s="2">
        <v>45757</v>
      </c>
      <c r="H269" s="5">
        <f t="shared" si="14"/>
        <v>9</v>
      </c>
      <c r="I269" s="5">
        <f t="shared" si="15"/>
        <v>9</v>
      </c>
      <c r="J269" s="2" t="s">
        <v>18</v>
      </c>
      <c r="K269" s="2" t="s">
        <v>586</v>
      </c>
      <c r="AD269" s="33" t="str">
        <f t="shared" si="16"/>
        <v>Thursday</v>
      </c>
    </row>
    <row r="270" spans="1:30" x14ac:dyDescent="0.2">
      <c r="A270" s="3">
        <v>40064</v>
      </c>
      <c r="B270" s="2" t="s">
        <v>38</v>
      </c>
      <c r="C270" t="s">
        <v>7</v>
      </c>
      <c r="D270" t="s">
        <v>207</v>
      </c>
      <c r="E270" s="2">
        <v>45749</v>
      </c>
      <c r="F270" s="2" cm="1">
        <f t="array" ref="F270">_xlfn.IFS(B270="Owner Surrender",E270,B270="Stray",E270+6,B270="Stray w/identification",E270+11,B270="Bite",E270+10,B270="Other",Blank)</f>
        <v>45755</v>
      </c>
      <c r="G270" s="2">
        <v>45757</v>
      </c>
      <c r="H270" s="5">
        <f t="shared" si="14"/>
        <v>8</v>
      </c>
      <c r="I270" s="5">
        <f t="shared" si="15"/>
        <v>2</v>
      </c>
      <c r="J270" s="2" t="s">
        <v>31</v>
      </c>
      <c r="K270" s="2" t="s">
        <v>587</v>
      </c>
      <c r="AD270" s="33" t="str">
        <f t="shared" si="16"/>
        <v>Thursday</v>
      </c>
    </row>
    <row r="271" spans="1:30" x14ac:dyDescent="0.2">
      <c r="A271" s="3">
        <v>40065</v>
      </c>
      <c r="B271" s="2" t="s">
        <v>38</v>
      </c>
      <c r="C271" t="s">
        <v>7</v>
      </c>
      <c r="D271" t="s">
        <v>207</v>
      </c>
      <c r="E271" s="2">
        <v>45749</v>
      </c>
      <c r="F271" s="2" cm="1">
        <f t="array" ref="F271">_xlfn.IFS(B271="Owner Surrender",E271,B271="Stray",E271+6,B271="Stray w/identification",E271+11,B271="Bite",E271+10,B271="Other",Blank)</f>
        <v>45755</v>
      </c>
      <c r="G271" s="2">
        <v>45757</v>
      </c>
      <c r="H271" s="5">
        <f t="shared" si="14"/>
        <v>8</v>
      </c>
      <c r="I271" s="5">
        <f t="shared" si="15"/>
        <v>2</v>
      </c>
      <c r="J271" s="2" t="s">
        <v>18</v>
      </c>
      <c r="K271" s="2" t="s">
        <v>586</v>
      </c>
      <c r="AD271" s="33" t="str">
        <f t="shared" si="16"/>
        <v>Thursday</v>
      </c>
    </row>
    <row r="272" spans="1:30" x14ac:dyDescent="0.2">
      <c r="A272" s="3">
        <v>40066</v>
      </c>
      <c r="B272" s="2" t="s">
        <v>38</v>
      </c>
      <c r="C272" t="s">
        <v>7</v>
      </c>
      <c r="D272" t="s">
        <v>207</v>
      </c>
      <c r="E272" s="2">
        <v>45749</v>
      </c>
      <c r="F272" s="2" cm="1">
        <f t="array" ref="F272">_xlfn.IFS(B272="Owner Surrender",E272,B272="Stray",E272+6,B272="Stray w/identification",E272+11,B272="Bite",E272+10,B272="Other",Blank)</f>
        <v>45755</v>
      </c>
      <c r="G272" s="2">
        <v>45757</v>
      </c>
      <c r="H272" s="5">
        <f t="shared" si="14"/>
        <v>8</v>
      </c>
      <c r="I272" s="5">
        <f t="shared" si="15"/>
        <v>2</v>
      </c>
      <c r="J272" s="2" t="s">
        <v>18</v>
      </c>
      <c r="K272" s="2" t="s">
        <v>586</v>
      </c>
      <c r="M272" t="s">
        <v>34</v>
      </c>
      <c r="AD272" s="33" t="str">
        <f t="shared" si="16"/>
        <v>Thursday</v>
      </c>
    </row>
    <row r="273" spans="1:30" x14ac:dyDescent="0.2">
      <c r="A273" s="3">
        <v>40067</v>
      </c>
      <c r="B273" s="2" t="s">
        <v>38</v>
      </c>
      <c r="C273" t="s">
        <v>7</v>
      </c>
      <c r="D273" t="s">
        <v>207</v>
      </c>
      <c r="E273" s="2">
        <v>45749</v>
      </c>
      <c r="F273" s="2" cm="1">
        <f t="array" ref="F273">_xlfn.IFS(B273="Owner Surrender",E273,B273="Stray",E273+6,B273="Stray w/identification",E273+11,B273="Bite",E273+10,B273="Other",Blank)</f>
        <v>45755</v>
      </c>
      <c r="G273" s="2">
        <v>45757</v>
      </c>
      <c r="H273" s="5">
        <f t="shared" si="14"/>
        <v>8</v>
      </c>
      <c r="I273" s="5">
        <f t="shared" si="15"/>
        <v>2</v>
      </c>
      <c r="J273" s="2" t="s">
        <v>18</v>
      </c>
      <c r="K273" s="2" t="s">
        <v>586</v>
      </c>
      <c r="M273" t="s">
        <v>34</v>
      </c>
      <c r="AD273" s="33" t="str">
        <f t="shared" si="16"/>
        <v>Thursday</v>
      </c>
    </row>
    <row r="274" spans="1:30" x14ac:dyDescent="0.2">
      <c r="A274" s="3">
        <v>40072</v>
      </c>
      <c r="B274" s="2" t="s">
        <v>38</v>
      </c>
      <c r="C274" t="s">
        <v>7</v>
      </c>
      <c r="D274" t="s">
        <v>207</v>
      </c>
      <c r="E274" s="2">
        <v>45750</v>
      </c>
      <c r="F274" s="2" cm="1">
        <f t="array" ref="F274">_xlfn.IFS(B274="Owner Surrender",E274,B274="Stray",E274+6,B274="Stray w/identification",E274+11,B274="Bite",E274+10,B274="Other",Blank)</f>
        <v>45756</v>
      </c>
      <c r="G274" s="2">
        <v>45757</v>
      </c>
      <c r="H274" s="5">
        <f t="shared" si="14"/>
        <v>7</v>
      </c>
      <c r="I274" s="5">
        <f t="shared" si="15"/>
        <v>1</v>
      </c>
      <c r="J274" s="2" t="s">
        <v>31</v>
      </c>
      <c r="K274" s="2" t="s">
        <v>587</v>
      </c>
      <c r="AD274" s="33" t="str">
        <f t="shared" si="16"/>
        <v>Thursday</v>
      </c>
    </row>
    <row r="275" spans="1:30" x14ac:dyDescent="0.2">
      <c r="A275" s="3">
        <v>40075</v>
      </c>
      <c r="B275" s="2" t="s">
        <v>36</v>
      </c>
      <c r="C275" t="s">
        <v>7</v>
      </c>
      <c r="D275" t="s">
        <v>207</v>
      </c>
      <c r="E275" s="2">
        <v>45780</v>
      </c>
      <c r="F275" s="2" cm="1">
        <f t="array" ref="F275">_xlfn.IFS(B275="Owner Surrender",E275,B275="Stray",E275+6,B275="Stray w/identification",E275+11,B275="Bite",E275+10,B275="Other",Blank)</f>
        <v>45780</v>
      </c>
      <c r="H275" s="5">
        <f t="shared" si="14"/>
        <v>-45780</v>
      </c>
      <c r="I275" s="5">
        <f t="shared" si="15"/>
        <v>-45780</v>
      </c>
      <c r="J275" s="2" t="s">
        <v>21</v>
      </c>
      <c r="K275" s="2" t="s">
        <v>586</v>
      </c>
      <c r="L275" t="s">
        <v>323</v>
      </c>
      <c r="AD275" s="33" t="str">
        <f t="shared" si="16"/>
        <v>Saturday</v>
      </c>
    </row>
    <row r="276" spans="1:30" x14ac:dyDescent="0.2">
      <c r="A276" s="3">
        <v>40076</v>
      </c>
      <c r="B276" s="2" t="s">
        <v>36</v>
      </c>
      <c r="C276" t="s">
        <v>7</v>
      </c>
      <c r="D276" t="s">
        <v>207</v>
      </c>
      <c r="E276" s="2">
        <v>45751</v>
      </c>
      <c r="F276" s="2" cm="1">
        <f t="array" ref="F276">_xlfn.IFS(B276="Owner Surrender",E276,B276="Stray",E276+6,B276="Stray w/identification",E276+11,B276="Bite",E276+10,B276="Other",Blank)</f>
        <v>45751</v>
      </c>
      <c r="G276" s="2">
        <v>45757</v>
      </c>
      <c r="H276" s="5">
        <f t="shared" si="14"/>
        <v>6</v>
      </c>
      <c r="I276" s="5">
        <f t="shared" si="15"/>
        <v>6</v>
      </c>
      <c r="J276" s="2" t="s">
        <v>18</v>
      </c>
      <c r="K276" s="2" t="s">
        <v>586</v>
      </c>
      <c r="L276" t="s">
        <v>112</v>
      </c>
      <c r="AD276" s="33" t="str">
        <f t="shared" si="16"/>
        <v>Thursday</v>
      </c>
    </row>
    <row r="277" spans="1:30" x14ac:dyDescent="0.2">
      <c r="A277" s="3">
        <v>40079</v>
      </c>
      <c r="B277" s="2" t="s">
        <v>36</v>
      </c>
      <c r="C277" t="s">
        <v>313</v>
      </c>
      <c r="D277" t="s">
        <v>207</v>
      </c>
      <c r="E277" s="2">
        <v>45752</v>
      </c>
      <c r="F277" s="2" cm="1">
        <f t="array" ref="F277">_xlfn.IFS(B277="Owner Surrender",E277,B277="Stray",E277+6,B277="Stray w/identification",E277+11,B277="Bite",E277+10,B277="Other",Blank)</f>
        <v>45752</v>
      </c>
      <c r="G277" s="2">
        <v>45794</v>
      </c>
      <c r="H277" s="5">
        <f t="shared" si="14"/>
        <v>42</v>
      </c>
      <c r="I277" s="5">
        <f t="shared" si="15"/>
        <v>42</v>
      </c>
      <c r="J277" s="2" t="s">
        <v>11</v>
      </c>
      <c r="K277" s="2" t="s">
        <v>586</v>
      </c>
      <c r="AD277" s="33" t="str">
        <f t="shared" si="16"/>
        <v>Saturday</v>
      </c>
    </row>
    <row r="278" spans="1:30" x14ac:dyDescent="0.2">
      <c r="A278" s="3">
        <v>40082</v>
      </c>
      <c r="B278" s="2" t="s">
        <v>38</v>
      </c>
      <c r="C278" t="s">
        <v>7</v>
      </c>
      <c r="D278" t="s">
        <v>207</v>
      </c>
      <c r="E278" s="2">
        <v>45753</v>
      </c>
      <c r="F278" s="2" cm="1">
        <f t="array" ref="F278">_xlfn.IFS(B278="Owner Surrender",E278,B278="Stray",E278+6,B278="Stray w/identification",E278+11,B278="Bite",E278+10,B278="Other",Blank)</f>
        <v>45759</v>
      </c>
      <c r="G278" s="2">
        <v>45784</v>
      </c>
      <c r="H278" s="5">
        <f t="shared" si="14"/>
        <v>31</v>
      </c>
      <c r="I278" s="5">
        <f t="shared" si="15"/>
        <v>25</v>
      </c>
      <c r="J278" s="2" t="s">
        <v>31</v>
      </c>
      <c r="K278" s="2" t="s">
        <v>587</v>
      </c>
      <c r="L278" t="s">
        <v>371</v>
      </c>
      <c r="AD278" s="33" t="str">
        <f t="shared" si="16"/>
        <v>Wednesday</v>
      </c>
    </row>
    <row r="279" spans="1:30" x14ac:dyDescent="0.2">
      <c r="A279" s="3">
        <v>40091</v>
      </c>
      <c r="B279" s="2" t="s">
        <v>38</v>
      </c>
      <c r="C279" t="s">
        <v>15</v>
      </c>
      <c r="D279" t="s">
        <v>207</v>
      </c>
      <c r="E279" s="2">
        <v>45754</v>
      </c>
      <c r="F279" s="2" cm="1">
        <f t="array" ref="F279">_xlfn.IFS(B279="Owner Surrender",E279,B279="Stray",E279+6,B279="Stray w/identification",E279+11,B279="Bite",E279+10,B279="Other",Blank)</f>
        <v>45760</v>
      </c>
      <c r="G279" s="2">
        <v>45763</v>
      </c>
      <c r="H279" s="5">
        <f t="shared" si="14"/>
        <v>9</v>
      </c>
      <c r="I279" s="5">
        <f t="shared" si="15"/>
        <v>3</v>
      </c>
      <c r="J279" s="2" t="s">
        <v>31</v>
      </c>
      <c r="K279" s="2" t="s">
        <v>587</v>
      </c>
      <c r="AD279" s="33" t="str">
        <f t="shared" si="16"/>
        <v>Wednesday</v>
      </c>
    </row>
    <row r="280" spans="1:30" x14ac:dyDescent="0.2">
      <c r="A280" s="3">
        <v>40095</v>
      </c>
      <c r="B280" s="2" t="s">
        <v>38</v>
      </c>
      <c r="C280" t="s">
        <v>7</v>
      </c>
      <c r="D280" t="s">
        <v>207</v>
      </c>
      <c r="E280" s="2">
        <v>45757</v>
      </c>
      <c r="F280" s="2" cm="1">
        <f t="array" ref="F280">_xlfn.IFS(B280="Owner Surrender",E280,B280="Stray",E280+6,B280="Stray w/identification",E280+11,B280="Bite",E280+10,B280="Other",Blank)</f>
        <v>45763</v>
      </c>
      <c r="G280" s="2">
        <v>45774</v>
      </c>
      <c r="H280" s="5">
        <f t="shared" si="14"/>
        <v>17</v>
      </c>
      <c r="I280" s="5">
        <f t="shared" si="15"/>
        <v>11</v>
      </c>
      <c r="J280" s="2" t="s">
        <v>31</v>
      </c>
      <c r="K280" s="2" t="s">
        <v>587</v>
      </c>
      <c r="M280" t="s">
        <v>368</v>
      </c>
      <c r="AD280" s="33" t="str">
        <f t="shared" si="16"/>
        <v>Sunday</v>
      </c>
    </row>
    <row r="281" spans="1:30" x14ac:dyDescent="0.2">
      <c r="A281" s="3">
        <v>40101</v>
      </c>
      <c r="B281" s="2" t="s">
        <v>38</v>
      </c>
      <c r="C281" t="s">
        <v>7</v>
      </c>
      <c r="D281" t="s">
        <v>208</v>
      </c>
      <c r="E281" s="2">
        <v>45757</v>
      </c>
      <c r="F281" s="2" cm="1">
        <f t="array" ref="F281">_xlfn.IFS(B281="Owner Surrender",E281,B281="Stray",E281+6,B281="Stray w/identification",E281+11,B281="Bite",E281+10,B281="Other",Blank)</f>
        <v>45763</v>
      </c>
      <c r="G281" s="2">
        <v>45757</v>
      </c>
      <c r="H281" s="5">
        <f t="shared" si="14"/>
        <v>0</v>
      </c>
      <c r="I281" s="5">
        <f t="shared" si="15"/>
        <v>-6</v>
      </c>
      <c r="J281" s="2" t="s">
        <v>31</v>
      </c>
      <c r="K281" s="2" t="s">
        <v>143</v>
      </c>
      <c r="M281" t="s">
        <v>46</v>
      </c>
      <c r="AD281" s="33" t="str">
        <f t="shared" si="16"/>
        <v>Thursday</v>
      </c>
    </row>
    <row r="282" spans="1:30" x14ac:dyDescent="0.2">
      <c r="A282" s="3">
        <v>40103</v>
      </c>
      <c r="B282" s="2" t="s">
        <v>60</v>
      </c>
      <c r="C282" t="s">
        <v>7</v>
      </c>
      <c r="D282" t="s">
        <v>208</v>
      </c>
      <c r="E282" s="2">
        <v>45757</v>
      </c>
      <c r="F282" s="2" t="e" cm="1">
        <f t="array" ref="F282">_xlfn.IFS(B282="Owner Surrender",E282,B282="Stray",E282+6,B282="Stray w/identification",E282+11,B282="Bite",E282+10,B282="Other",Blank)</f>
        <v>#NAME?</v>
      </c>
      <c r="G282" s="2">
        <v>45770</v>
      </c>
      <c r="H282" s="5">
        <f t="shared" si="14"/>
        <v>13</v>
      </c>
      <c r="I282" s="5" t="e">
        <f t="shared" si="15"/>
        <v>#NAME?</v>
      </c>
      <c r="J282" s="2" t="s">
        <v>31</v>
      </c>
      <c r="K282" s="2" t="s">
        <v>143</v>
      </c>
      <c r="M282" t="s">
        <v>40</v>
      </c>
      <c r="AD282" s="33" t="str">
        <f t="shared" si="16"/>
        <v>Wednesday</v>
      </c>
    </row>
    <row r="283" spans="1:30" x14ac:dyDescent="0.2">
      <c r="A283" s="3">
        <v>40110</v>
      </c>
      <c r="B283" s="2" t="s">
        <v>36</v>
      </c>
      <c r="C283" t="s">
        <v>7</v>
      </c>
      <c r="D283" t="s">
        <v>207</v>
      </c>
      <c r="E283" s="2">
        <v>45759</v>
      </c>
      <c r="F283" s="2" cm="1">
        <f t="array" ref="F283">_xlfn.IFS(B283="Owner Surrender",E283,B283="Stray",E283+6,B283="Stray w/identification",E283+11,B283="Bite",E283+10,B283="Other",Blank)</f>
        <v>45759</v>
      </c>
      <c r="G283" s="2">
        <v>45772</v>
      </c>
      <c r="H283" s="5">
        <f t="shared" si="14"/>
        <v>13</v>
      </c>
      <c r="I283" s="5">
        <f t="shared" si="15"/>
        <v>13</v>
      </c>
      <c r="J283" s="2" t="s">
        <v>31</v>
      </c>
      <c r="K283" s="2" t="s">
        <v>587</v>
      </c>
      <c r="L283" t="s">
        <v>370</v>
      </c>
      <c r="AD283" s="33" t="str">
        <f t="shared" si="16"/>
        <v>Friday</v>
      </c>
    </row>
    <row r="284" spans="1:30" x14ac:dyDescent="0.2">
      <c r="A284" s="3">
        <v>40111</v>
      </c>
      <c r="B284" s="2" t="s">
        <v>36</v>
      </c>
      <c r="C284" t="s">
        <v>7</v>
      </c>
      <c r="D284" t="s">
        <v>207</v>
      </c>
      <c r="E284" s="2">
        <v>45759</v>
      </c>
      <c r="F284" s="2" cm="1">
        <f t="array" ref="F284">_xlfn.IFS(B284="Owner Surrender",E284,B284="Stray",E284+6,B284="Stray w/identification",E284+11,B284="Bite",E284+10,B284="Other",Blank)</f>
        <v>45759</v>
      </c>
      <c r="G284" s="2">
        <v>45784</v>
      </c>
      <c r="H284" s="5">
        <f t="shared" si="14"/>
        <v>25</v>
      </c>
      <c r="I284" s="5">
        <f t="shared" si="15"/>
        <v>25</v>
      </c>
      <c r="J284" s="2" t="s">
        <v>31</v>
      </c>
      <c r="K284" s="2" t="s">
        <v>587</v>
      </c>
      <c r="AD284" s="33" t="str">
        <f t="shared" si="16"/>
        <v>Wednesday</v>
      </c>
    </row>
    <row r="285" spans="1:30" x14ac:dyDescent="0.2">
      <c r="A285" s="3">
        <v>40112</v>
      </c>
      <c r="B285" s="2" t="s">
        <v>36</v>
      </c>
      <c r="C285" t="s">
        <v>7</v>
      </c>
      <c r="D285" t="s">
        <v>207</v>
      </c>
      <c r="E285" s="2">
        <v>45759</v>
      </c>
      <c r="F285" s="2" cm="1">
        <f t="array" ref="F285">_xlfn.IFS(B285="Owner Surrender",E285,B285="Stray",E285+6,B285="Stray w/identification",E285+11,B285="Bite",E285+10,B285="Other",Blank)</f>
        <v>45759</v>
      </c>
      <c r="G285" s="2">
        <v>45772</v>
      </c>
      <c r="H285" s="5">
        <f t="shared" si="14"/>
        <v>13</v>
      </c>
      <c r="I285" s="5">
        <f t="shared" si="15"/>
        <v>13</v>
      </c>
      <c r="J285" s="2" t="s">
        <v>31</v>
      </c>
      <c r="K285" s="2" t="s">
        <v>587</v>
      </c>
      <c r="AD285" s="33" t="str">
        <f t="shared" si="16"/>
        <v>Friday</v>
      </c>
    </row>
    <row r="286" spans="1:30" x14ac:dyDescent="0.2">
      <c r="A286" s="3">
        <v>40113</v>
      </c>
      <c r="B286" s="2" t="s">
        <v>36</v>
      </c>
      <c r="C286" t="s">
        <v>7</v>
      </c>
      <c r="D286" t="s">
        <v>207</v>
      </c>
      <c r="E286" s="2">
        <v>45759</v>
      </c>
      <c r="F286" s="2" cm="1">
        <f t="array" ref="F286">_xlfn.IFS(B286="Owner Surrender",E286,B286="Stray",E286+6,B286="Stray w/identification",E286+11,B286="Bite",E286+10,B286="Other",Blank)</f>
        <v>45759</v>
      </c>
      <c r="G286" s="2">
        <v>45770</v>
      </c>
      <c r="H286" s="5">
        <f t="shared" si="14"/>
        <v>11</v>
      </c>
      <c r="I286" s="5">
        <f t="shared" si="15"/>
        <v>11</v>
      </c>
      <c r="J286" s="2" t="s">
        <v>31</v>
      </c>
      <c r="K286" s="2" t="s">
        <v>587</v>
      </c>
      <c r="AD286" s="33" t="str">
        <f t="shared" si="16"/>
        <v>Wednesday</v>
      </c>
    </row>
    <row r="287" spans="1:30" x14ac:dyDescent="0.2">
      <c r="A287" s="3">
        <v>40119</v>
      </c>
      <c r="B287" s="2" t="s">
        <v>36</v>
      </c>
      <c r="C287" t="s">
        <v>7</v>
      </c>
      <c r="D287" t="s">
        <v>208</v>
      </c>
      <c r="E287" s="2">
        <v>45759</v>
      </c>
      <c r="F287" s="2" cm="1">
        <f t="array" ref="F287">_xlfn.IFS(B287="Owner Surrender",E287,B287="Stray",E287+6,B287="Stray w/identification",E287+11,B287="Bite",E287+10,B287="Other",Blank)</f>
        <v>45759</v>
      </c>
      <c r="G287" s="2">
        <v>45841</v>
      </c>
      <c r="H287" s="5">
        <f t="shared" si="14"/>
        <v>82</v>
      </c>
      <c r="I287" s="5">
        <f t="shared" si="15"/>
        <v>82</v>
      </c>
      <c r="J287" s="2" t="s">
        <v>31</v>
      </c>
      <c r="K287" s="2" t="s">
        <v>588</v>
      </c>
      <c r="M287" t="s">
        <v>177</v>
      </c>
      <c r="AD287" s="33" t="str">
        <f t="shared" si="16"/>
        <v>Thursday</v>
      </c>
    </row>
    <row r="288" spans="1:30" x14ac:dyDescent="0.2">
      <c r="A288" s="3">
        <v>40120</v>
      </c>
      <c r="B288" s="2" t="s">
        <v>36</v>
      </c>
      <c r="C288" t="s">
        <v>7</v>
      </c>
      <c r="D288" t="s">
        <v>208</v>
      </c>
      <c r="E288" s="2">
        <v>45759</v>
      </c>
      <c r="F288" s="2" cm="1">
        <f t="array" ref="F288">_xlfn.IFS(B288="Owner Surrender",E288,B288="Stray",E288+6,B288="Stray w/identification",E288+11,B288="Bite",E288+10,B288="Other",Blank)</f>
        <v>45759</v>
      </c>
      <c r="G288" s="2">
        <v>45766</v>
      </c>
      <c r="H288" s="5">
        <f t="shared" si="14"/>
        <v>7</v>
      </c>
      <c r="I288" s="5">
        <f t="shared" si="15"/>
        <v>7</v>
      </c>
      <c r="J288" s="2" t="s">
        <v>28</v>
      </c>
      <c r="K288" s="2" t="s">
        <v>586</v>
      </c>
      <c r="M288" t="s">
        <v>369</v>
      </c>
      <c r="AD288" s="33" t="str">
        <f t="shared" si="16"/>
        <v>Saturday</v>
      </c>
    </row>
    <row r="289" spans="1:30" x14ac:dyDescent="0.2">
      <c r="A289" s="3">
        <v>40121</v>
      </c>
      <c r="B289" s="2" t="s">
        <v>36</v>
      </c>
      <c r="C289" t="s">
        <v>7</v>
      </c>
      <c r="D289" t="s">
        <v>208</v>
      </c>
      <c r="E289" s="2">
        <v>45759</v>
      </c>
      <c r="F289" s="2" cm="1">
        <f t="array" ref="F289">_xlfn.IFS(B289="Owner Surrender",E289,B289="Stray",E289+6,B289="Stray w/identification",E289+11,B289="Bite",E289+10,B289="Other",Blank)</f>
        <v>45759</v>
      </c>
      <c r="G289" s="2">
        <v>45775</v>
      </c>
      <c r="H289" s="5">
        <f t="shared" si="14"/>
        <v>16</v>
      </c>
      <c r="I289" s="5">
        <f t="shared" si="15"/>
        <v>16</v>
      </c>
      <c r="J289" s="2" t="s">
        <v>31</v>
      </c>
      <c r="K289" s="2" t="s">
        <v>587</v>
      </c>
      <c r="AD289" s="33" t="str">
        <f t="shared" si="16"/>
        <v>Monday</v>
      </c>
    </row>
    <row r="290" spans="1:30" x14ac:dyDescent="0.2">
      <c r="A290" s="3">
        <v>40122</v>
      </c>
      <c r="B290" s="2" t="s">
        <v>36</v>
      </c>
      <c r="C290" t="s">
        <v>7</v>
      </c>
      <c r="D290" t="s">
        <v>208</v>
      </c>
      <c r="E290" s="2">
        <v>45759</v>
      </c>
      <c r="F290" s="2" cm="1">
        <f t="array" ref="F290">_xlfn.IFS(B290="Owner Surrender",E290,B290="Stray",E290+6,B290="Stray w/identification",E290+11,B290="Bite",E290+10,B290="Other",Blank)</f>
        <v>45759</v>
      </c>
      <c r="G290" s="2">
        <v>45853</v>
      </c>
      <c r="H290" s="5">
        <f t="shared" si="14"/>
        <v>94</v>
      </c>
      <c r="I290" s="5">
        <f t="shared" si="15"/>
        <v>94</v>
      </c>
      <c r="J290" t="s">
        <v>31</v>
      </c>
      <c r="K290" s="2" t="s">
        <v>587</v>
      </c>
      <c r="L290" t="s">
        <v>37</v>
      </c>
      <c r="AD290" s="33" t="str">
        <f t="shared" si="16"/>
        <v>Tuesday</v>
      </c>
    </row>
    <row r="291" spans="1:30" x14ac:dyDescent="0.2">
      <c r="A291" s="3">
        <v>40123</v>
      </c>
      <c r="B291" s="2" t="s">
        <v>36</v>
      </c>
      <c r="C291" t="s">
        <v>15</v>
      </c>
      <c r="D291" t="s">
        <v>207</v>
      </c>
      <c r="E291" s="2">
        <v>45760</v>
      </c>
      <c r="F291" s="2" cm="1">
        <f t="array" ref="F291">_xlfn.IFS(B291="Owner Surrender",E291,B291="Stray",E291+6,B291="Stray w/identification",E291+11,B291="Bite",E291+10,B291="Other",Blank)</f>
        <v>45760</v>
      </c>
      <c r="G291" s="2">
        <v>45791</v>
      </c>
      <c r="H291" s="5">
        <f t="shared" si="14"/>
        <v>31</v>
      </c>
      <c r="I291" s="5">
        <f t="shared" si="15"/>
        <v>31</v>
      </c>
      <c r="J291" s="2" t="s">
        <v>18</v>
      </c>
      <c r="K291" s="2" t="s">
        <v>586</v>
      </c>
      <c r="M291" t="s">
        <v>368</v>
      </c>
      <c r="AD291" s="33" t="str">
        <f t="shared" si="16"/>
        <v>Wednesday</v>
      </c>
    </row>
    <row r="292" spans="1:30" x14ac:dyDescent="0.2">
      <c r="A292" s="3">
        <v>40124</v>
      </c>
      <c r="B292" s="2" t="s">
        <v>38</v>
      </c>
      <c r="C292" t="s">
        <v>7</v>
      </c>
      <c r="D292" t="s">
        <v>208</v>
      </c>
      <c r="E292" s="2">
        <v>45760</v>
      </c>
      <c r="F292" s="2" cm="1">
        <f t="array" ref="F292">_xlfn.IFS(B292="Owner Surrender",E292,B292="Stray",E292+6,B292="Stray w/identification",E292+11,B292="Bite",E292+10,B292="Other",Blank)</f>
        <v>45766</v>
      </c>
      <c r="G292" s="2">
        <v>45761</v>
      </c>
      <c r="H292" s="5">
        <f t="shared" si="14"/>
        <v>1</v>
      </c>
      <c r="I292" s="5">
        <f t="shared" si="15"/>
        <v>-5</v>
      </c>
      <c r="J292" s="2" t="s">
        <v>31</v>
      </c>
      <c r="K292" s="2" t="s">
        <v>143</v>
      </c>
      <c r="M292" t="s">
        <v>46</v>
      </c>
      <c r="AD292" s="33" t="str">
        <f t="shared" si="16"/>
        <v>Monday</v>
      </c>
    </row>
    <row r="293" spans="1:30" x14ac:dyDescent="0.2">
      <c r="A293" s="3">
        <v>40125</v>
      </c>
      <c r="B293" s="2" t="s">
        <v>38</v>
      </c>
      <c r="C293" t="s">
        <v>7</v>
      </c>
      <c r="D293" t="s">
        <v>208</v>
      </c>
      <c r="E293" s="2">
        <v>45760</v>
      </c>
      <c r="F293" s="2" cm="1">
        <f t="array" ref="F293">_xlfn.IFS(B293="Owner Surrender",E293,B293="Stray",E293+6,B293="Stray w/identification",E293+11,B293="Bite",E293+10,B293="Other",Blank)</f>
        <v>45766</v>
      </c>
      <c r="G293" s="2">
        <v>45761</v>
      </c>
      <c r="H293" s="5">
        <f t="shared" si="14"/>
        <v>1</v>
      </c>
      <c r="I293" s="5">
        <f t="shared" si="15"/>
        <v>-5</v>
      </c>
      <c r="J293" s="2" t="s">
        <v>31</v>
      </c>
      <c r="K293" s="2" t="s">
        <v>143</v>
      </c>
      <c r="M293" t="s">
        <v>46</v>
      </c>
      <c r="AD293" s="33" t="str">
        <f t="shared" si="16"/>
        <v>Monday</v>
      </c>
    </row>
    <row r="294" spans="1:30" x14ac:dyDescent="0.2">
      <c r="A294" s="3">
        <v>40126</v>
      </c>
      <c r="B294" s="2" t="s">
        <v>38</v>
      </c>
      <c r="C294" t="s">
        <v>7</v>
      </c>
      <c r="D294" t="s">
        <v>208</v>
      </c>
      <c r="E294" s="2">
        <v>45760</v>
      </c>
      <c r="F294" s="2" cm="1">
        <f t="array" ref="F294">_xlfn.IFS(B294="Owner Surrender",E294,B294="Stray",E294+6,B294="Stray w/identification",E294+11,B294="Bite",E294+10,B294="Other",Blank)</f>
        <v>45766</v>
      </c>
      <c r="G294" s="2">
        <v>45761</v>
      </c>
      <c r="H294" s="5">
        <f t="shared" si="14"/>
        <v>1</v>
      </c>
      <c r="I294" s="5">
        <f t="shared" si="15"/>
        <v>-5</v>
      </c>
      <c r="J294" s="2" t="s">
        <v>31</v>
      </c>
      <c r="K294" s="2" t="s">
        <v>143</v>
      </c>
      <c r="M294" t="s">
        <v>46</v>
      </c>
      <c r="AD294" s="33" t="str">
        <f t="shared" si="16"/>
        <v>Monday</v>
      </c>
    </row>
    <row r="295" spans="1:30" x14ac:dyDescent="0.2">
      <c r="A295" s="3">
        <v>40127</v>
      </c>
      <c r="B295" s="2" t="s">
        <v>38</v>
      </c>
      <c r="C295" t="s">
        <v>10</v>
      </c>
      <c r="D295" t="s">
        <v>208</v>
      </c>
      <c r="E295" s="2">
        <v>45760</v>
      </c>
      <c r="F295" s="2" cm="1">
        <f t="array" ref="F295">_xlfn.IFS(B295="Owner Surrender",E295,B295="Stray",E295+6,B295="Stray w/identification",E295+11,B295="Bite",E295+10,B295="Other",Blank)</f>
        <v>45766</v>
      </c>
      <c r="G295" s="2">
        <v>45761</v>
      </c>
      <c r="H295" s="5">
        <f t="shared" ref="H295:H358" si="17">+G295-E295</f>
        <v>1</v>
      </c>
      <c r="I295" s="5">
        <f t="shared" si="15"/>
        <v>-5</v>
      </c>
      <c r="J295" s="2" t="s">
        <v>31</v>
      </c>
      <c r="K295" s="2" t="s">
        <v>143</v>
      </c>
      <c r="M295" t="s">
        <v>46</v>
      </c>
      <c r="AD295" s="33" t="str">
        <f t="shared" si="16"/>
        <v>Monday</v>
      </c>
    </row>
    <row r="296" spans="1:30" x14ac:dyDescent="0.2">
      <c r="A296" s="3">
        <v>40128</v>
      </c>
      <c r="B296" s="2" t="s">
        <v>38</v>
      </c>
      <c r="C296" t="s">
        <v>10</v>
      </c>
      <c r="D296" t="s">
        <v>208</v>
      </c>
      <c r="E296" s="2">
        <v>45760</v>
      </c>
      <c r="F296" s="2" cm="1">
        <f t="array" ref="F296">_xlfn.IFS(B296="Owner Surrender",E296,B296="Stray",E296+6,B296="Stray w/identification",E296+11,B296="Bite",E296+10,B296="Other",Blank)</f>
        <v>45766</v>
      </c>
      <c r="G296" s="2">
        <v>45761</v>
      </c>
      <c r="H296" s="5">
        <f t="shared" si="17"/>
        <v>1</v>
      </c>
      <c r="I296" s="5">
        <f t="shared" si="15"/>
        <v>-5</v>
      </c>
      <c r="J296" s="2" t="s">
        <v>31</v>
      </c>
      <c r="K296" s="2" t="s">
        <v>143</v>
      </c>
      <c r="M296" t="s">
        <v>46</v>
      </c>
      <c r="AD296" s="33" t="str">
        <f t="shared" si="16"/>
        <v>Monday</v>
      </c>
    </row>
    <row r="297" spans="1:30" x14ac:dyDescent="0.2">
      <c r="A297" s="3">
        <v>40129</v>
      </c>
      <c r="B297" s="2" t="s">
        <v>38</v>
      </c>
      <c r="C297" t="s">
        <v>7</v>
      </c>
      <c r="D297" t="s">
        <v>208</v>
      </c>
      <c r="E297" s="2">
        <v>45760</v>
      </c>
      <c r="F297" s="2" cm="1">
        <f t="array" ref="F297">_xlfn.IFS(B297="Owner Surrender",E297,B297="Stray",E297+6,B297="Stray w/identification",E297+11,B297="Bite",E297+10,B297="Other",Blank)</f>
        <v>45766</v>
      </c>
      <c r="G297" s="2">
        <v>45761</v>
      </c>
      <c r="H297" s="5">
        <f t="shared" si="17"/>
        <v>1</v>
      </c>
      <c r="I297" s="5">
        <f t="shared" ref="I297:I360" si="18">G297-F297</f>
        <v>-5</v>
      </c>
      <c r="J297" s="2" t="s">
        <v>31</v>
      </c>
      <c r="K297" s="2" t="s">
        <v>143</v>
      </c>
      <c r="M297" t="s">
        <v>46</v>
      </c>
      <c r="AD297" s="33" t="str">
        <f t="shared" si="16"/>
        <v>Monday</v>
      </c>
    </row>
    <row r="298" spans="1:30" x14ac:dyDescent="0.2">
      <c r="A298" s="3">
        <v>40130</v>
      </c>
      <c r="B298" s="2" t="s">
        <v>38</v>
      </c>
      <c r="C298" t="s">
        <v>7</v>
      </c>
      <c r="D298" t="s">
        <v>207</v>
      </c>
      <c r="E298" s="2">
        <v>45761</v>
      </c>
      <c r="F298" s="2" cm="1">
        <f t="array" ref="F298">_xlfn.IFS(B298="Owner Surrender",E298,B298="Stray",E298+6,B298="Stray w/identification",E298+11,B298="Bite",E298+10,B298="Other",Blank)</f>
        <v>45767</v>
      </c>
      <c r="G298" s="2">
        <v>45761</v>
      </c>
      <c r="H298" s="5">
        <f t="shared" si="17"/>
        <v>0</v>
      </c>
      <c r="I298" s="5">
        <f t="shared" si="18"/>
        <v>-6</v>
      </c>
      <c r="J298" s="2" t="s">
        <v>31</v>
      </c>
      <c r="K298" s="2" t="s">
        <v>588</v>
      </c>
      <c r="M298" t="s">
        <v>367</v>
      </c>
      <c r="AD298" s="33" t="str">
        <f t="shared" si="16"/>
        <v>Monday</v>
      </c>
    </row>
    <row r="299" spans="1:30" x14ac:dyDescent="0.2">
      <c r="A299" s="3">
        <v>40131</v>
      </c>
      <c r="B299" s="2" t="s">
        <v>60</v>
      </c>
      <c r="C299" t="s">
        <v>7</v>
      </c>
      <c r="D299" t="s">
        <v>208</v>
      </c>
      <c r="E299" s="2">
        <v>45757</v>
      </c>
      <c r="F299" s="2" t="e" cm="1">
        <f t="array" ref="F299">_xlfn.IFS(B299="Owner Surrender",E299,B299="Stray",E299+6,B299="Stray w/identification",E299+11,B299="Bite",E299+10,B299="Other",Blank)</f>
        <v>#NAME?</v>
      </c>
      <c r="G299" s="2">
        <v>45770</v>
      </c>
      <c r="H299" s="5">
        <f t="shared" si="17"/>
        <v>13</v>
      </c>
      <c r="I299" s="5" t="e">
        <f t="shared" si="18"/>
        <v>#NAME?</v>
      </c>
      <c r="J299" s="2" t="s">
        <v>31</v>
      </c>
      <c r="K299" s="2" t="s">
        <v>143</v>
      </c>
      <c r="M299" t="s">
        <v>366</v>
      </c>
      <c r="AD299" s="33" t="str">
        <f t="shared" si="16"/>
        <v>Wednesday</v>
      </c>
    </row>
    <row r="300" spans="1:30" x14ac:dyDescent="0.2">
      <c r="A300" s="3">
        <v>40132</v>
      </c>
      <c r="B300" s="2" t="s">
        <v>60</v>
      </c>
      <c r="C300" t="s">
        <v>7</v>
      </c>
      <c r="D300" t="s">
        <v>208</v>
      </c>
      <c r="E300" s="2">
        <v>45759</v>
      </c>
      <c r="F300" s="2" t="e" cm="1">
        <f t="array" ref="F300">_xlfn.IFS(B300="Owner Surrender",E300,B300="Stray",E300+6,B300="Stray w/identification",E300+11,B300="Bite",E300+10,B300="Other",Blank)</f>
        <v>#NAME?</v>
      </c>
      <c r="G300" s="2">
        <v>45770</v>
      </c>
      <c r="H300" s="5">
        <f t="shared" si="17"/>
        <v>11</v>
      </c>
      <c r="I300" s="5" t="e">
        <f t="shared" si="18"/>
        <v>#NAME?</v>
      </c>
      <c r="J300" s="2" t="s">
        <v>31</v>
      </c>
      <c r="K300" s="2" t="s">
        <v>143</v>
      </c>
      <c r="M300" t="s">
        <v>366</v>
      </c>
      <c r="AD300" s="33" t="str">
        <f t="shared" si="16"/>
        <v>Wednesday</v>
      </c>
    </row>
    <row r="301" spans="1:30" x14ac:dyDescent="0.2">
      <c r="A301" s="3">
        <v>40144</v>
      </c>
      <c r="B301" s="2" t="s">
        <v>38</v>
      </c>
      <c r="C301" t="s">
        <v>10</v>
      </c>
      <c r="D301" t="s">
        <v>208</v>
      </c>
      <c r="E301" s="2">
        <v>45762</v>
      </c>
      <c r="F301" s="2" cm="1">
        <f t="array" ref="F301">_xlfn.IFS(B301="Owner Surrender",E301,B301="Stray",E301+6,B301="Stray w/identification",E301+11,B301="Bite",E301+10,B301="Other",Blank)</f>
        <v>45768</v>
      </c>
      <c r="G301" s="2">
        <v>45770</v>
      </c>
      <c r="H301" s="5">
        <f t="shared" si="17"/>
        <v>8</v>
      </c>
      <c r="I301" s="5">
        <f t="shared" si="18"/>
        <v>2</v>
      </c>
      <c r="J301" s="2" t="s">
        <v>31</v>
      </c>
      <c r="K301" s="2" t="s">
        <v>143</v>
      </c>
      <c r="AD301" s="33" t="str">
        <f t="shared" si="16"/>
        <v>Wednesday</v>
      </c>
    </row>
    <row r="302" spans="1:30" x14ac:dyDescent="0.2">
      <c r="A302" s="3">
        <v>40145</v>
      </c>
      <c r="B302" s="2" t="s">
        <v>38</v>
      </c>
      <c r="C302" t="s">
        <v>10</v>
      </c>
      <c r="D302" t="s">
        <v>207</v>
      </c>
      <c r="E302" s="2">
        <v>45762</v>
      </c>
      <c r="F302" s="2" cm="1">
        <f t="array" ref="F302">_xlfn.IFS(B302="Owner Surrender",E302,B302="Stray",E302+6,B302="Stray w/identification",E302+11,B302="Bite",E302+10,B302="Other",Blank)</f>
        <v>45768</v>
      </c>
      <c r="G302" s="2">
        <v>45784</v>
      </c>
      <c r="H302" s="5">
        <f t="shared" si="17"/>
        <v>22</v>
      </c>
      <c r="I302" s="5">
        <f t="shared" si="18"/>
        <v>16</v>
      </c>
      <c r="J302" s="2" t="s">
        <v>31</v>
      </c>
      <c r="K302" s="2" t="s">
        <v>587</v>
      </c>
      <c r="AD302" s="33" t="str">
        <f t="shared" si="16"/>
        <v>Wednesday</v>
      </c>
    </row>
    <row r="303" spans="1:30" x14ac:dyDescent="0.2">
      <c r="A303" s="3">
        <v>40152</v>
      </c>
      <c r="B303" s="2" t="s">
        <v>36</v>
      </c>
      <c r="C303" t="s">
        <v>10</v>
      </c>
      <c r="D303" t="s">
        <v>207</v>
      </c>
      <c r="E303" s="2">
        <v>45764</v>
      </c>
      <c r="F303" s="2" cm="1">
        <f t="array" ref="F303">_xlfn.IFS(B303="Owner Surrender",E303,B303="Stray",E303+6,B303="Stray w/identification",E303+11,B303="Bite",E303+10,B303="Other",Blank)</f>
        <v>45764</v>
      </c>
      <c r="G303" s="2">
        <v>45771</v>
      </c>
      <c r="H303" s="5">
        <f t="shared" si="17"/>
        <v>7</v>
      </c>
      <c r="I303" s="5">
        <f t="shared" si="18"/>
        <v>7</v>
      </c>
      <c r="J303" s="2" t="s">
        <v>31</v>
      </c>
      <c r="K303" s="2" t="s">
        <v>587</v>
      </c>
      <c r="AD303" s="33" t="str">
        <f t="shared" si="16"/>
        <v>Thursday</v>
      </c>
    </row>
    <row r="304" spans="1:30" x14ac:dyDescent="0.2">
      <c r="A304" s="3">
        <v>40155</v>
      </c>
      <c r="B304" s="2" t="s">
        <v>38</v>
      </c>
      <c r="C304" t="s">
        <v>7</v>
      </c>
      <c r="D304" t="s">
        <v>207</v>
      </c>
      <c r="E304" s="2">
        <v>45765</v>
      </c>
      <c r="F304" s="2" cm="1">
        <f t="array" ref="F304">_xlfn.IFS(B304="Owner Surrender",E304,B304="Stray",E304+6,B304="Stray w/identification",E304+11,B304="Bite",E304+10,B304="Other",Blank)</f>
        <v>45771</v>
      </c>
      <c r="G304" s="2">
        <v>45776</v>
      </c>
      <c r="H304" s="5">
        <f t="shared" si="17"/>
        <v>11</v>
      </c>
      <c r="I304" s="5">
        <f t="shared" si="18"/>
        <v>5</v>
      </c>
      <c r="J304" s="2" t="s">
        <v>31</v>
      </c>
      <c r="K304" s="2" t="s">
        <v>587</v>
      </c>
      <c r="L304" t="s">
        <v>365</v>
      </c>
      <c r="AD304" s="33" t="str">
        <f t="shared" si="16"/>
        <v>Tuesday</v>
      </c>
    </row>
    <row r="305" spans="1:30" x14ac:dyDescent="0.2">
      <c r="A305" s="3">
        <v>40156</v>
      </c>
      <c r="B305" s="2" t="s">
        <v>38</v>
      </c>
      <c r="C305" t="s">
        <v>7</v>
      </c>
      <c r="D305" t="s">
        <v>207</v>
      </c>
      <c r="E305" s="2">
        <v>45765</v>
      </c>
      <c r="F305" s="2" cm="1">
        <f t="array" ref="F305">_xlfn.IFS(B305="Owner Surrender",E305,B305="Stray",E305+6,B305="Stray w/identification",E305+11,B305="Bite",E305+10,B305="Other",Blank)</f>
        <v>45771</v>
      </c>
      <c r="G305" s="2">
        <v>45769</v>
      </c>
      <c r="H305" s="5">
        <f t="shared" si="17"/>
        <v>4</v>
      </c>
      <c r="I305" s="5">
        <f t="shared" si="18"/>
        <v>-2</v>
      </c>
      <c r="J305" s="2" t="s">
        <v>31</v>
      </c>
      <c r="K305" s="2" t="s">
        <v>587</v>
      </c>
      <c r="AD305" s="33" t="str">
        <f t="shared" si="16"/>
        <v>Tuesday</v>
      </c>
    </row>
    <row r="306" spans="1:30" x14ac:dyDescent="0.2">
      <c r="A306" s="3">
        <v>40159</v>
      </c>
      <c r="B306" s="2" t="s">
        <v>36</v>
      </c>
      <c r="C306" t="s">
        <v>7</v>
      </c>
      <c r="D306" t="s">
        <v>207</v>
      </c>
      <c r="E306" s="2">
        <v>45765</v>
      </c>
      <c r="F306" s="2" cm="1">
        <f t="array" ref="F306">_xlfn.IFS(B306="Owner Surrender",E306,B306="Stray",E306+6,B306="Stray w/identification",E306+11,B306="Bite",E306+10,B306="Other",Blank)</f>
        <v>45765</v>
      </c>
      <c r="G306" s="2">
        <v>45770</v>
      </c>
      <c r="H306" s="5">
        <f t="shared" si="17"/>
        <v>5</v>
      </c>
      <c r="I306" s="5">
        <f t="shared" si="18"/>
        <v>5</v>
      </c>
      <c r="J306" s="2" t="s">
        <v>31</v>
      </c>
      <c r="K306" s="2" t="s">
        <v>587</v>
      </c>
      <c r="AD306" s="33" t="str">
        <f t="shared" si="16"/>
        <v>Wednesday</v>
      </c>
    </row>
    <row r="307" spans="1:30" x14ac:dyDescent="0.2">
      <c r="A307" s="3">
        <v>40163</v>
      </c>
      <c r="B307" s="2" t="s">
        <v>36</v>
      </c>
      <c r="C307" t="s">
        <v>10</v>
      </c>
      <c r="D307" t="s">
        <v>207</v>
      </c>
      <c r="E307" s="2">
        <v>45766</v>
      </c>
      <c r="F307" s="2" cm="1">
        <f t="array" ref="F307">_xlfn.IFS(B307="Owner Surrender",E307,B307="Stray",E307+6,B307="Stray w/identification",E307+11,B307="Bite",E307+10,B307="Other",Blank)</f>
        <v>45766</v>
      </c>
      <c r="G307" s="2">
        <v>45770</v>
      </c>
      <c r="H307" s="5">
        <f t="shared" si="17"/>
        <v>4</v>
      </c>
      <c r="I307" s="5">
        <f t="shared" si="18"/>
        <v>4</v>
      </c>
      <c r="J307" s="2" t="s">
        <v>31</v>
      </c>
      <c r="K307" s="2" t="s">
        <v>24</v>
      </c>
      <c r="M307" t="s">
        <v>364</v>
      </c>
      <c r="AD307" s="33" t="str">
        <f t="shared" si="16"/>
        <v>Wednesday</v>
      </c>
    </row>
    <row r="308" spans="1:30" x14ac:dyDescent="0.2">
      <c r="A308" s="3">
        <v>40164</v>
      </c>
      <c r="B308" s="2" t="s">
        <v>38</v>
      </c>
      <c r="C308" t="s">
        <v>10</v>
      </c>
      <c r="D308" t="s">
        <v>208</v>
      </c>
      <c r="E308" s="2">
        <v>45766</v>
      </c>
      <c r="F308" s="2" cm="1">
        <f t="array" ref="F308">_xlfn.IFS(B308="Owner Surrender",E308,B308="Stray",E308+6,B308="Stray w/identification",E308+11,B308="Bite",E308+10,B308="Other",Blank)</f>
        <v>45772</v>
      </c>
      <c r="G308" s="2">
        <v>45787</v>
      </c>
      <c r="H308" s="5">
        <f t="shared" si="17"/>
        <v>21</v>
      </c>
      <c r="I308" s="5">
        <f t="shared" si="18"/>
        <v>15</v>
      </c>
      <c r="J308" s="2" t="s">
        <v>11</v>
      </c>
      <c r="K308" s="2" t="s">
        <v>586</v>
      </c>
      <c r="AD308" s="33" t="str">
        <f t="shared" si="16"/>
        <v>Saturday</v>
      </c>
    </row>
    <row r="309" spans="1:30" x14ac:dyDescent="0.2">
      <c r="A309" s="3">
        <v>40165</v>
      </c>
      <c r="B309" s="2" t="s">
        <v>38</v>
      </c>
      <c r="C309" t="s">
        <v>7</v>
      </c>
      <c r="D309" t="s">
        <v>207</v>
      </c>
      <c r="E309" s="2">
        <v>45766</v>
      </c>
      <c r="F309" s="2" cm="1">
        <f t="array" ref="F309">_xlfn.IFS(B309="Owner Surrender",E309,B309="Stray",E309+6,B309="Stray w/identification",E309+11,B309="Bite",E309+10,B309="Other",Blank)</f>
        <v>45772</v>
      </c>
      <c r="G309" s="2">
        <v>45772</v>
      </c>
      <c r="H309" s="5">
        <f t="shared" si="17"/>
        <v>6</v>
      </c>
      <c r="I309" s="5">
        <f t="shared" si="18"/>
        <v>0</v>
      </c>
      <c r="J309" s="2" t="s">
        <v>31</v>
      </c>
      <c r="K309" s="2" t="s">
        <v>587</v>
      </c>
      <c r="AD309" s="33" t="str">
        <f t="shared" si="16"/>
        <v>Friday</v>
      </c>
    </row>
    <row r="310" spans="1:30" x14ac:dyDescent="0.2">
      <c r="A310" s="3">
        <v>40166</v>
      </c>
      <c r="B310" s="2" t="s">
        <v>36</v>
      </c>
      <c r="C310" t="s">
        <v>7</v>
      </c>
      <c r="D310" t="s">
        <v>208</v>
      </c>
      <c r="E310" s="2">
        <v>45766</v>
      </c>
      <c r="F310" s="2" cm="1">
        <f t="array" ref="F310">_xlfn.IFS(B310="Owner Surrender",E310,B310="Stray",E310+6,B310="Stray w/identification",E310+11,B310="Bite",E310+10,B310="Other",Blank)</f>
        <v>45766</v>
      </c>
      <c r="G310" s="2">
        <v>45766</v>
      </c>
      <c r="H310" s="5">
        <f t="shared" si="17"/>
        <v>0</v>
      </c>
      <c r="I310" s="5">
        <f t="shared" si="18"/>
        <v>0</v>
      </c>
      <c r="J310" s="2" t="s">
        <v>31</v>
      </c>
      <c r="K310" s="2" t="s">
        <v>588</v>
      </c>
      <c r="M310" t="s">
        <v>123</v>
      </c>
      <c r="AD310" s="33" t="str">
        <f t="shared" si="16"/>
        <v>Saturday</v>
      </c>
    </row>
    <row r="311" spans="1:30" x14ac:dyDescent="0.2">
      <c r="A311" s="3">
        <v>40173</v>
      </c>
      <c r="B311" s="2" t="s">
        <v>38</v>
      </c>
      <c r="C311" t="s">
        <v>7</v>
      </c>
      <c r="D311" t="s">
        <v>207</v>
      </c>
      <c r="E311" s="2">
        <v>45767</v>
      </c>
      <c r="F311" s="2" cm="1">
        <f t="array" ref="F311">_xlfn.IFS(B311="Owner Surrender",E311,B311="Stray",E311+6,B311="Stray w/identification",E311+11,B311="Bite",E311+10,B311="Other",Blank)</f>
        <v>45773</v>
      </c>
      <c r="G311" s="2">
        <v>45776</v>
      </c>
      <c r="H311" s="5">
        <f t="shared" si="17"/>
        <v>9</v>
      </c>
      <c r="I311" s="5">
        <f t="shared" si="18"/>
        <v>3</v>
      </c>
      <c r="J311" s="2" t="s">
        <v>31</v>
      </c>
      <c r="K311" s="2" t="s">
        <v>587</v>
      </c>
      <c r="L311" t="s">
        <v>363</v>
      </c>
      <c r="AD311" s="33" t="str">
        <f t="shared" si="16"/>
        <v>Tuesday</v>
      </c>
    </row>
    <row r="312" spans="1:30" x14ac:dyDescent="0.2">
      <c r="A312" s="3">
        <v>40174</v>
      </c>
      <c r="B312" s="2" t="s">
        <v>38</v>
      </c>
      <c r="C312" t="s">
        <v>15</v>
      </c>
      <c r="D312" t="s">
        <v>207</v>
      </c>
      <c r="E312" s="2">
        <v>45767</v>
      </c>
      <c r="F312" s="2" cm="1">
        <f t="array" ref="F312">_xlfn.IFS(B312="Owner Surrender",E312,B312="Stray",E312+6,B312="Stray w/identification",E312+11,B312="Bite",E312+10,B312="Other",Blank)</f>
        <v>45773</v>
      </c>
      <c r="G312" s="2">
        <v>45804</v>
      </c>
      <c r="H312" s="5">
        <f t="shared" si="17"/>
        <v>37</v>
      </c>
      <c r="I312" s="5">
        <f t="shared" si="18"/>
        <v>31</v>
      </c>
      <c r="J312" s="2" t="s">
        <v>18</v>
      </c>
      <c r="K312" s="2" t="s">
        <v>586</v>
      </c>
      <c r="AD312" s="33" t="str">
        <f t="shared" si="16"/>
        <v>Tuesday</v>
      </c>
    </row>
    <row r="313" spans="1:30" x14ac:dyDescent="0.2">
      <c r="A313" s="3">
        <v>40175</v>
      </c>
      <c r="B313" s="2" t="s">
        <v>38</v>
      </c>
      <c r="C313" t="s">
        <v>7</v>
      </c>
      <c r="D313" t="s">
        <v>207</v>
      </c>
      <c r="E313" s="2">
        <v>45767</v>
      </c>
      <c r="F313" s="2" cm="1">
        <f t="array" ref="F313">_xlfn.IFS(B313="Owner Surrender",E313,B313="Stray",E313+6,B313="Stray w/identification",E313+11,B313="Bite",E313+10,B313="Other",Blank)</f>
        <v>45773</v>
      </c>
      <c r="G313" s="2">
        <v>45779</v>
      </c>
      <c r="H313" s="5">
        <f t="shared" si="17"/>
        <v>12</v>
      </c>
      <c r="I313" s="5">
        <f t="shared" si="18"/>
        <v>6</v>
      </c>
      <c r="J313" s="2" t="s">
        <v>31</v>
      </c>
      <c r="K313" s="2" t="s">
        <v>587</v>
      </c>
      <c r="L313" t="s">
        <v>362</v>
      </c>
      <c r="AD313" s="33" t="str">
        <f t="shared" si="16"/>
        <v>Friday</v>
      </c>
    </row>
    <row r="314" spans="1:30" x14ac:dyDescent="0.2">
      <c r="A314" s="3">
        <v>40176</v>
      </c>
      <c r="B314" s="2" t="s">
        <v>179</v>
      </c>
      <c r="C314" t="s">
        <v>7</v>
      </c>
      <c r="D314" t="s">
        <v>207</v>
      </c>
      <c r="E314" s="2">
        <v>45767</v>
      </c>
      <c r="F314" s="2" cm="1">
        <f t="array" ref="F314">_xlfn.IFS(B314="Owner Surrender",E314,B314="Stray",E314+6,B314="Stray w/identification",E314+11,B314="Bite",E314+10,B314="Other",Blank)</f>
        <v>45778</v>
      </c>
      <c r="G314" s="2">
        <v>45769</v>
      </c>
      <c r="H314" s="5">
        <f t="shared" si="17"/>
        <v>2</v>
      </c>
      <c r="I314" s="5">
        <f t="shared" si="18"/>
        <v>-9</v>
      </c>
      <c r="J314" s="2" t="s">
        <v>8</v>
      </c>
      <c r="K314" s="2" t="s">
        <v>586</v>
      </c>
      <c r="L314" t="s">
        <v>361</v>
      </c>
      <c r="AD314" s="33" t="str">
        <f t="shared" si="16"/>
        <v>Tuesday</v>
      </c>
    </row>
    <row r="315" spans="1:30" x14ac:dyDescent="0.2">
      <c r="A315" s="3">
        <v>40178</v>
      </c>
      <c r="B315" s="2" t="s">
        <v>36</v>
      </c>
      <c r="C315" t="s">
        <v>15</v>
      </c>
      <c r="D315" t="s">
        <v>207</v>
      </c>
      <c r="E315" s="2">
        <v>45768</v>
      </c>
      <c r="F315" s="2" cm="1">
        <f t="array" ref="F315">_xlfn.IFS(B315="Owner Surrender",E315,B315="Stray",E315+6,B315="Stray w/identification",E315+11,B315="Bite",E315+10,B315="Other",Blank)</f>
        <v>45768</v>
      </c>
      <c r="G315" s="2">
        <v>45779</v>
      </c>
      <c r="H315" s="5">
        <f t="shared" si="17"/>
        <v>11</v>
      </c>
      <c r="I315" s="5">
        <f t="shared" si="18"/>
        <v>11</v>
      </c>
      <c r="J315" s="2" t="s">
        <v>31</v>
      </c>
      <c r="K315" s="2" t="s">
        <v>587</v>
      </c>
      <c r="L315" t="s">
        <v>378</v>
      </c>
      <c r="AD315" s="33" t="str">
        <f t="shared" si="16"/>
        <v>Friday</v>
      </c>
    </row>
    <row r="316" spans="1:30" x14ac:dyDescent="0.2">
      <c r="A316" s="3">
        <v>40179</v>
      </c>
      <c r="B316" s="2" t="s">
        <v>36</v>
      </c>
      <c r="C316" t="s">
        <v>7</v>
      </c>
      <c r="D316" t="s">
        <v>207</v>
      </c>
      <c r="E316" s="2">
        <v>45768</v>
      </c>
      <c r="F316" s="2" cm="1">
        <f t="array" ref="F316">_xlfn.IFS(B316="Owner Surrender",E316,B316="Stray",E316+6,B316="Stray w/identification",E316+11,B316="Bite",E316+10,B316="Other",Blank)</f>
        <v>45768</v>
      </c>
      <c r="G316" s="2">
        <v>45770</v>
      </c>
      <c r="H316" s="5">
        <f t="shared" si="17"/>
        <v>2</v>
      </c>
      <c r="I316" s="5">
        <f t="shared" si="18"/>
        <v>2</v>
      </c>
      <c r="J316" s="2" t="s">
        <v>31</v>
      </c>
      <c r="K316" s="2" t="s">
        <v>587</v>
      </c>
      <c r="L316" t="s">
        <v>377</v>
      </c>
      <c r="AD316" s="33" t="str">
        <f t="shared" si="16"/>
        <v>Wednesday</v>
      </c>
    </row>
    <row r="317" spans="1:30" x14ac:dyDescent="0.2">
      <c r="A317" s="3">
        <v>40181</v>
      </c>
      <c r="B317" s="2" t="s">
        <v>38</v>
      </c>
      <c r="C317" t="s">
        <v>7</v>
      </c>
      <c r="D317" t="s">
        <v>207</v>
      </c>
      <c r="E317" s="2">
        <v>45766</v>
      </c>
      <c r="F317" s="2" cm="1">
        <f t="array" ref="F317">_xlfn.IFS(B317="Owner Surrender",E317,B317="Stray",E317+6,B317="Stray w/identification",E317+11,B317="Bite",E317+10,B317="Other",Blank)</f>
        <v>45772</v>
      </c>
      <c r="G317" s="2">
        <v>45773</v>
      </c>
      <c r="H317" s="5">
        <f t="shared" si="17"/>
        <v>7</v>
      </c>
      <c r="I317" s="5">
        <f t="shared" si="18"/>
        <v>1</v>
      </c>
      <c r="J317" s="2" t="s">
        <v>31</v>
      </c>
      <c r="K317" s="2" t="s">
        <v>587</v>
      </c>
      <c r="AD317" s="33" t="str">
        <f t="shared" si="16"/>
        <v>Saturday</v>
      </c>
    </row>
    <row r="318" spans="1:30" x14ac:dyDescent="0.2">
      <c r="A318" s="3">
        <v>40182</v>
      </c>
      <c r="B318" s="2" t="s">
        <v>60</v>
      </c>
      <c r="C318" t="s">
        <v>7</v>
      </c>
      <c r="D318" t="s">
        <v>208</v>
      </c>
      <c r="E318" s="2">
        <v>45769</v>
      </c>
      <c r="F318" s="2" t="e" cm="1">
        <f t="array" ref="F318">_xlfn.IFS(B318="Owner Surrender",E318,B318="Stray",E318+6,B318="Stray w/identification",E318+11,B318="Bite",E318+10,B318="Other",Blank)</f>
        <v>#NAME?</v>
      </c>
      <c r="G318" s="2">
        <v>45787</v>
      </c>
      <c r="H318" s="5">
        <f t="shared" si="17"/>
        <v>18</v>
      </c>
      <c r="I318" s="5" t="e">
        <f t="shared" si="18"/>
        <v>#NAME?</v>
      </c>
      <c r="J318" s="2" t="s">
        <v>28</v>
      </c>
      <c r="K318" s="2" t="s">
        <v>586</v>
      </c>
      <c r="M318" t="s">
        <v>40</v>
      </c>
      <c r="AD318" s="33" t="str">
        <f t="shared" si="16"/>
        <v>Saturday</v>
      </c>
    </row>
    <row r="319" spans="1:30" x14ac:dyDescent="0.2">
      <c r="A319" s="3">
        <v>40183</v>
      </c>
      <c r="B319" s="2" t="s">
        <v>60</v>
      </c>
      <c r="C319" t="s">
        <v>7</v>
      </c>
      <c r="D319" t="s">
        <v>208</v>
      </c>
      <c r="E319" s="2">
        <v>45769</v>
      </c>
      <c r="F319" s="2" t="e" cm="1">
        <f t="array" ref="F319">_xlfn.IFS(B319="Owner Surrender",E319,B319="Stray",E319+6,B319="Stray w/identification",E319+11,B319="Bite",E319+10,B319="Other",Blank)</f>
        <v>#NAME?</v>
      </c>
      <c r="G319" s="2">
        <v>45789</v>
      </c>
      <c r="H319" s="5">
        <f t="shared" si="17"/>
        <v>20</v>
      </c>
      <c r="I319" s="5" t="e">
        <f t="shared" si="18"/>
        <v>#NAME?</v>
      </c>
      <c r="J319" s="2" t="s">
        <v>31</v>
      </c>
      <c r="K319" s="2" t="s">
        <v>143</v>
      </c>
      <c r="M319" t="s">
        <v>40</v>
      </c>
      <c r="AD319" s="33" t="str">
        <f t="shared" si="16"/>
        <v>Monday</v>
      </c>
    </row>
    <row r="320" spans="1:30" x14ac:dyDescent="0.2">
      <c r="A320" s="3">
        <v>40184</v>
      </c>
      <c r="B320" s="2" t="s">
        <v>60</v>
      </c>
      <c r="C320" t="s">
        <v>7</v>
      </c>
      <c r="D320" t="s">
        <v>208</v>
      </c>
      <c r="E320" s="2">
        <v>45769</v>
      </c>
      <c r="F320" s="2" t="e" cm="1">
        <f t="array" ref="F320">_xlfn.IFS(B320="Owner Surrender",E320,B320="Stray",E320+6,B320="Stray w/identification",E320+11,B320="Bite",E320+10,B320="Other",Blank)</f>
        <v>#NAME?</v>
      </c>
      <c r="G320" s="2">
        <v>45791</v>
      </c>
      <c r="H320" s="5">
        <f t="shared" si="17"/>
        <v>22</v>
      </c>
      <c r="I320" s="5" t="e">
        <f t="shared" si="18"/>
        <v>#NAME?</v>
      </c>
      <c r="J320" s="2" t="s">
        <v>18</v>
      </c>
      <c r="K320" s="2" t="s">
        <v>586</v>
      </c>
      <c r="M320" t="s">
        <v>40</v>
      </c>
      <c r="AD320" s="33" t="str">
        <f t="shared" si="16"/>
        <v>Wednesday</v>
      </c>
    </row>
    <row r="321" spans="1:30" x14ac:dyDescent="0.2">
      <c r="A321" s="3">
        <v>40185</v>
      </c>
      <c r="B321" s="2" t="s">
        <v>60</v>
      </c>
      <c r="C321" t="s">
        <v>7</v>
      </c>
      <c r="D321" t="s">
        <v>208</v>
      </c>
      <c r="E321" s="2">
        <v>45769</v>
      </c>
      <c r="F321" s="2" t="e" cm="1">
        <f t="array" ref="F321">_xlfn.IFS(B321="Owner Surrender",E321,B321="Stray",E321+6,B321="Stray w/identification",E321+11,B321="Bite",E321+10,B321="Other",Blank)</f>
        <v>#NAME?</v>
      </c>
      <c r="G321" s="2">
        <v>45791</v>
      </c>
      <c r="H321" s="5">
        <f t="shared" si="17"/>
        <v>22</v>
      </c>
      <c r="I321" s="5" t="e">
        <f t="shared" si="18"/>
        <v>#NAME?</v>
      </c>
      <c r="J321" s="2" t="s">
        <v>18</v>
      </c>
      <c r="K321" s="2" t="s">
        <v>586</v>
      </c>
      <c r="M321" t="s">
        <v>40</v>
      </c>
      <c r="AD321" s="33" t="str">
        <f t="shared" si="16"/>
        <v>Wednesday</v>
      </c>
    </row>
    <row r="322" spans="1:30" x14ac:dyDescent="0.2">
      <c r="A322" s="3">
        <v>40186</v>
      </c>
      <c r="B322" s="2" t="s">
        <v>36</v>
      </c>
      <c r="C322" t="s">
        <v>7</v>
      </c>
      <c r="D322" t="s">
        <v>207</v>
      </c>
      <c r="E322" s="2">
        <v>45768</v>
      </c>
      <c r="F322" s="2" cm="1">
        <f t="array" ref="F322">_xlfn.IFS(B322="Owner Surrender",E322,B322="Stray",E322+6,B322="Stray w/identification",E322+11,B322="Bite",E322+10,B322="Other",Blank)</f>
        <v>45768</v>
      </c>
      <c r="G322" s="2">
        <v>45770</v>
      </c>
      <c r="H322" s="5">
        <f t="shared" si="17"/>
        <v>2</v>
      </c>
      <c r="I322" s="5">
        <f t="shared" si="18"/>
        <v>2</v>
      </c>
      <c r="J322" s="2" t="s">
        <v>31</v>
      </c>
      <c r="K322" s="2" t="s">
        <v>587</v>
      </c>
      <c r="L322" t="s">
        <v>376</v>
      </c>
      <c r="AD322" s="33" t="str">
        <f t="shared" si="16"/>
        <v>Wednesday</v>
      </c>
    </row>
    <row r="323" spans="1:30" x14ac:dyDescent="0.2">
      <c r="A323" s="3">
        <v>40187</v>
      </c>
      <c r="B323" s="2" t="s">
        <v>36</v>
      </c>
      <c r="C323" t="s">
        <v>7</v>
      </c>
      <c r="D323" t="s">
        <v>207</v>
      </c>
      <c r="E323" s="2">
        <v>45768</v>
      </c>
      <c r="F323" s="2" cm="1">
        <f t="array" ref="F323">_xlfn.IFS(B323="Owner Surrender",E323,B323="Stray",E323+6,B323="Stray w/identification",E323+11,B323="Bite",E323+10,B323="Other",Blank)</f>
        <v>45768</v>
      </c>
      <c r="G323" s="2">
        <v>45770</v>
      </c>
      <c r="H323" s="5">
        <f t="shared" si="17"/>
        <v>2</v>
      </c>
      <c r="I323" s="5">
        <f t="shared" si="18"/>
        <v>2</v>
      </c>
      <c r="J323" s="2" t="s">
        <v>31</v>
      </c>
      <c r="K323" s="2" t="s">
        <v>587</v>
      </c>
      <c r="AD323" s="33" t="str">
        <f t="shared" si="16"/>
        <v>Wednesday</v>
      </c>
    </row>
    <row r="324" spans="1:30" x14ac:dyDescent="0.2">
      <c r="A324" s="3">
        <v>40189</v>
      </c>
      <c r="B324" s="2" t="s">
        <v>36</v>
      </c>
      <c r="C324" t="s">
        <v>7</v>
      </c>
      <c r="D324" t="s">
        <v>207</v>
      </c>
      <c r="E324" s="2">
        <v>45769</v>
      </c>
      <c r="F324" s="2" cm="1">
        <f t="array" ref="F324">_xlfn.IFS(B324="Owner Surrender",E324,B324="Stray",E324+6,B324="Stray w/identification",E324+11,B324="Bite",E324+10,B324="Other",Blank)</f>
        <v>45769</v>
      </c>
      <c r="G324" s="2">
        <v>45770</v>
      </c>
      <c r="H324" s="5">
        <f t="shared" si="17"/>
        <v>1</v>
      </c>
      <c r="I324" s="5">
        <f t="shared" si="18"/>
        <v>1</v>
      </c>
      <c r="J324" s="2" t="s">
        <v>31</v>
      </c>
      <c r="K324" s="2" t="s">
        <v>587</v>
      </c>
      <c r="AD324" s="33" t="str">
        <f t="shared" ref="AD324:AD387" si="19">TEXT(G324,"DDDD")</f>
        <v>Wednesday</v>
      </c>
    </row>
    <row r="325" spans="1:30" x14ac:dyDescent="0.2">
      <c r="A325" s="3">
        <v>40190</v>
      </c>
      <c r="B325" s="2" t="s">
        <v>36</v>
      </c>
      <c r="C325" t="s">
        <v>7</v>
      </c>
      <c r="D325" t="s">
        <v>208</v>
      </c>
      <c r="E325" s="2">
        <v>45769</v>
      </c>
      <c r="F325" s="2" cm="1">
        <f t="array" ref="F325">_xlfn.IFS(B325="Owner Surrender",E325,B325="Stray",E325+6,B325="Stray w/identification",E325+11,B325="Bite",E325+10,B325="Other",Blank)</f>
        <v>45769</v>
      </c>
      <c r="G325" s="2">
        <v>45770</v>
      </c>
      <c r="H325" s="5">
        <f t="shared" si="17"/>
        <v>1</v>
      </c>
      <c r="I325" s="5">
        <f t="shared" si="18"/>
        <v>1</v>
      </c>
      <c r="J325" s="2" t="s">
        <v>31</v>
      </c>
      <c r="K325" s="2" t="s">
        <v>587</v>
      </c>
      <c r="AD325" s="33" t="str">
        <f t="shared" si="19"/>
        <v>Wednesday</v>
      </c>
    </row>
    <row r="326" spans="1:30" x14ac:dyDescent="0.2">
      <c r="A326" s="3">
        <v>40191</v>
      </c>
      <c r="B326" s="2" t="s">
        <v>36</v>
      </c>
      <c r="C326" t="s">
        <v>7</v>
      </c>
      <c r="D326" t="s">
        <v>208</v>
      </c>
      <c r="E326" s="2">
        <v>45769</v>
      </c>
      <c r="F326" s="2" cm="1">
        <f t="array" ref="F326">_xlfn.IFS(B326="Owner Surrender",E326,B326="Stray",E326+6,B326="Stray w/identification",E326+11,B326="Bite",E326+10,B326="Other",Blank)</f>
        <v>45769</v>
      </c>
      <c r="G326" s="2">
        <v>45770</v>
      </c>
      <c r="H326" s="5">
        <f t="shared" si="17"/>
        <v>1</v>
      </c>
      <c r="I326" s="5">
        <f t="shared" si="18"/>
        <v>1</v>
      </c>
      <c r="J326" s="2" t="s">
        <v>31</v>
      </c>
      <c r="K326" s="2" t="s">
        <v>587</v>
      </c>
      <c r="AD326" s="33" t="str">
        <f t="shared" si="19"/>
        <v>Wednesday</v>
      </c>
    </row>
    <row r="327" spans="1:30" x14ac:dyDescent="0.2">
      <c r="A327" s="3">
        <v>40192</v>
      </c>
      <c r="B327" s="2" t="s">
        <v>36</v>
      </c>
      <c r="C327" t="s">
        <v>7</v>
      </c>
      <c r="D327" t="s">
        <v>208</v>
      </c>
      <c r="E327" s="2">
        <v>45769</v>
      </c>
      <c r="F327" s="2" cm="1">
        <f t="array" ref="F327">_xlfn.IFS(B327="Owner Surrender",E327,B327="Stray",E327+6,B327="Stray w/identification",E327+11,B327="Bite",E327+10,B327="Other",Blank)</f>
        <v>45769</v>
      </c>
      <c r="G327" s="2">
        <v>45770</v>
      </c>
      <c r="H327" s="5">
        <f t="shared" si="17"/>
        <v>1</v>
      </c>
      <c r="I327" s="5">
        <f t="shared" si="18"/>
        <v>1</v>
      </c>
      <c r="J327" s="2" t="s">
        <v>31</v>
      </c>
      <c r="K327" s="2" t="s">
        <v>587</v>
      </c>
      <c r="AD327" s="33" t="str">
        <f t="shared" si="19"/>
        <v>Wednesday</v>
      </c>
    </row>
    <row r="328" spans="1:30" x14ac:dyDescent="0.2">
      <c r="A328" s="3">
        <v>40193</v>
      </c>
      <c r="B328" s="2" t="s">
        <v>36</v>
      </c>
      <c r="C328" t="s">
        <v>7</v>
      </c>
      <c r="D328" t="s">
        <v>208</v>
      </c>
      <c r="E328" s="2">
        <v>45769</v>
      </c>
      <c r="F328" s="2" cm="1">
        <f t="array" ref="F328">_xlfn.IFS(B328="Owner Surrender",E328,B328="Stray",E328+6,B328="Stray w/identification",E328+11,B328="Bite",E328+10,B328="Other",Blank)</f>
        <v>45769</v>
      </c>
      <c r="G328" s="2">
        <v>45770</v>
      </c>
      <c r="H328" s="5">
        <f t="shared" si="17"/>
        <v>1</v>
      </c>
      <c r="I328" s="5">
        <f t="shared" si="18"/>
        <v>1</v>
      </c>
      <c r="J328" s="2" t="s">
        <v>31</v>
      </c>
      <c r="K328" s="2" t="s">
        <v>587</v>
      </c>
      <c r="AD328" s="33" t="str">
        <f t="shared" si="19"/>
        <v>Wednesday</v>
      </c>
    </row>
    <row r="329" spans="1:30" x14ac:dyDescent="0.2">
      <c r="A329" s="3">
        <v>40196</v>
      </c>
      <c r="B329" s="2" t="s">
        <v>36</v>
      </c>
      <c r="C329" t="s">
        <v>7</v>
      </c>
      <c r="D329" t="s">
        <v>208</v>
      </c>
      <c r="E329" s="2">
        <v>45769</v>
      </c>
      <c r="F329" s="2" cm="1">
        <f t="array" ref="F329">_xlfn.IFS(B329="Owner Surrender",E329,B329="Stray",E329+6,B329="Stray w/identification",E329+11,B329="Bite",E329+10,B329="Other",Blank)</f>
        <v>45769</v>
      </c>
      <c r="G329" s="2">
        <v>45770</v>
      </c>
      <c r="H329" s="5">
        <f t="shared" si="17"/>
        <v>1</v>
      </c>
      <c r="I329" s="5">
        <f t="shared" si="18"/>
        <v>1</v>
      </c>
      <c r="J329" s="2" t="s">
        <v>31</v>
      </c>
      <c r="K329" s="2" t="s">
        <v>587</v>
      </c>
      <c r="AD329" s="33" t="str">
        <f t="shared" si="19"/>
        <v>Wednesday</v>
      </c>
    </row>
    <row r="330" spans="1:30" x14ac:dyDescent="0.2">
      <c r="A330" s="3">
        <v>40197</v>
      </c>
      <c r="B330" s="2" t="s">
        <v>36</v>
      </c>
      <c r="C330" t="s">
        <v>7</v>
      </c>
      <c r="D330" t="s">
        <v>208</v>
      </c>
      <c r="E330" s="2">
        <v>45769</v>
      </c>
      <c r="F330" s="2" cm="1">
        <f t="array" ref="F330">_xlfn.IFS(B330="Owner Surrender",E330,B330="Stray",E330+6,B330="Stray w/identification",E330+11,B330="Bite",E330+10,B330="Other",Blank)</f>
        <v>45769</v>
      </c>
      <c r="G330" s="2">
        <v>45770</v>
      </c>
      <c r="H330" s="5">
        <f t="shared" si="17"/>
        <v>1</v>
      </c>
      <c r="I330" s="5">
        <f t="shared" si="18"/>
        <v>1</v>
      </c>
      <c r="J330" s="2" t="s">
        <v>31</v>
      </c>
      <c r="K330" s="2" t="s">
        <v>587</v>
      </c>
      <c r="AD330" s="33" t="str">
        <f t="shared" si="19"/>
        <v>Wednesday</v>
      </c>
    </row>
    <row r="331" spans="1:30" x14ac:dyDescent="0.2">
      <c r="A331" s="3">
        <v>40201</v>
      </c>
      <c r="B331" s="2" t="s">
        <v>36</v>
      </c>
      <c r="C331" t="s">
        <v>7</v>
      </c>
      <c r="D331" t="s">
        <v>207</v>
      </c>
      <c r="E331" s="2">
        <v>45769</v>
      </c>
      <c r="F331" s="2" cm="1">
        <f t="array" ref="F331">_xlfn.IFS(B331="Owner Surrender",E331,B331="Stray",E331+6,B331="Stray w/identification",E331+11,B331="Bite",E331+10,B331="Other",Blank)</f>
        <v>45769</v>
      </c>
      <c r="G331" s="2">
        <v>45784</v>
      </c>
      <c r="H331" s="5">
        <f t="shared" si="17"/>
        <v>15</v>
      </c>
      <c r="I331" s="5">
        <f t="shared" si="18"/>
        <v>15</v>
      </c>
      <c r="J331" s="2" t="s">
        <v>31</v>
      </c>
      <c r="K331" s="2" t="s">
        <v>587</v>
      </c>
      <c r="AD331" s="33" t="str">
        <f t="shared" si="19"/>
        <v>Wednesday</v>
      </c>
    </row>
    <row r="332" spans="1:30" x14ac:dyDescent="0.2">
      <c r="A332" s="3">
        <v>40202</v>
      </c>
      <c r="B332" s="2" t="s">
        <v>36</v>
      </c>
      <c r="C332" t="s">
        <v>7</v>
      </c>
      <c r="D332" t="s">
        <v>208</v>
      </c>
      <c r="E332" s="2">
        <v>45769</v>
      </c>
      <c r="F332" s="2" cm="1">
        <f t="array" ref="F332">_xlfn.IFS(B332="Owner Surrender",E332,B332="Stray",E332+6,B332="Stray w/identification",E332+11,B332="Bite",E332+10,B332="Other",Blank)</f>
        <v>45769</v>
      </c>
      <c r="G332" s="2">
        <v>45784</v>
      </c>
      <c r="H332" s="5">
        <f t="shared" si="17"/>
        <v>15</v>
      </c>
      <c r="I332" s="5">
        <f t="shared" si="18"/>
        <v>15</v>
      </c>
      <c r="J332" s="2" t="s">
        <v>31</v>
      </c>
      <c r="K332" s="2" t="s">
        <v>588</v>
      </c>
      <c r="M332" t="s">
        <v>33</v>
      </c>
      <c r="AD332" s="33" t="str">
        <f t="shared" si="19"/>
        <v>Wednesday</v>
      </c>
    </row>
    <row r="333" spans="1:30" x14ac:dyDescent="0.2">
      <c r="A333" s="3">
        <v>40203</v>
      </c>
      <c r="B333" s="2" t="s">
        <v>36</v>
      </c>
      <c r="C333" t="s">
        <v>7</v>
      </c>
      <c r="D333" t="s">
        <v>208</v>
      </c>
      <c r="E333" s="2">
        <v>45769</v>
      </c>
      <c r="F333" s="2" cm="1">
        <f t="array" ref="F333">_xlfn.IFS(B333="Owner Surrender",E333,B333="Stray",E333+6,B333="Stray w/identification",E333+11,B333="Bite",E333+10,B333="Other",Blank)</f>
        <v>45769</v>
      </c>
      <c r="G333" s="2">
        <v>45784</v>
      </c>
      <c r="H333" s="5">
        <f t="shared" si="17"/>
        <v>15</v>
      </c>
      <c r="I333" s="5">
        <f t="shared" si="18"/>
        <v>15</v>
      </c>
      <c r="J333" s="2" t="s">
        <v>31</v>
      </c>
      <c r="K333" s="2" t="s">
        <v>588</v>
      </c>
      <c r="M333" t="s">
        <v>33</v>
      </c>
      <c r="AD333" s="33" t="str">
        <f t="shared" si="19"/>
        <v>Wednesday</v>
      </c>
    </row>
    <row r="334" spans="1:30" x14ac:dyDescent="0.2">
      <c r="A334" s="3">
        <v>40204</v>
      </c>
      <c r="B334" s="2" t="s">
        <v>36</v>
      </c>
      <c r="C334" t="s">
        <v>7</v>
      </c>
      <c r="D334" t="s">
        <v>208</v>
      </c>
      <c r="E334" s="2">
        <v>45769</v>
      </c>
      <c r="F334" s="2" cm="1">
        <f t="array" ref="F334">_xlfn.IFS(B334="Owner Surrender",E334,B334="Stray",E334+6,B334="Stray w/identification",E334+11,B334="Bite",E334+10,B334="Other",Blank)</f>
        <v>45769</v>
      </c>
      <c r="G334" s="2">
        <v>45784</v>
      </c>
      <c r="H334" s="5">
        <f t="shared" si="17"/>
        <v>15</v>
      </c>
      <c r="I334" s="5">
        <f t="shared" si="18"/>
        <v>15</v>
      </c>
      <c r="J334" s="2" t="s">
        <v>31</v>
      </c>
      <c r="K334" s="2" t="s">
        <v>588</v>
      </c>
      <c r="M334" t="s">
        <v>33</v>
      </c>
      <c r="AD334" s="33" t="str">
        <f t="shared" si="19"/>
        <v>Wednesday</v>
      </c>
    </row>
    <row r="335" spans="1:30" x14ac:dyDescent="0.2">
      <c r="A335" s="3">
        <v>40205</v>
      </c>
      <c r="B335" s="2" t="s">
        <v>36</v>
      </c>
      <c r="C335" t="s">
        <v>7</v>
      </c>
      <c r="D335" t="s">
        <v>208</v>
      </c>
      <c r="E335" s="2">
        <v>45769</v>
      </c>
      <c r="F335" s="2" cm="1">
        <f t="array" ref="F335">_xlfn.IFS(B335="Owner Surrender",E335,B335="Stray",E335+6,B335="Stray w/identification",E335+11,B335="Bite",E335+10,B335="Other",Blank)</f>
        <v>45769</v>
      </c>
      <c r="G335" s="2">
        <v>45784</v>
      </c>
      <c r="H335" s="5">
        <f t="shared" si="17"/>
        <v>15</v>
      </c>
      <c r="I335" s="5">
        <f t="shared" si="18"/>
        <v>15</v>
      </c>
      <c r="J335" s="2" t="s">
        <v>31</v>
      </c>
      <c r="K335" s="2" t="s">
        <v>588</v>
      </c>
      <c r="M335" t="s">
        <v>33</v>
      </c>
      <c r="AD335" s="33" t="str">
        <f t="shared" si="19"/>
        <v>Wednesday</v>
      </c>
    </row>
    <row r="336" spans="1:30" x14ac:dyDescent="0.2">
      <c r="A336" s="3">
        <v>40206</v>
      </c>
      <c r="B336" s="2" t="s">
        <v>36</v>
      </c>
      <c r="C336" t="s">
        <v>7</v>
      </c>
      <c r="D336" t="s">
        <v>208</v>
      </c>
      <c r="E336" s="2">
        <v>45769</v>
      </c>
      <c r="F336" s="2" cm="1">
        <f t="array" ref="F336">_xlfn.IFS(B336="Owner Surrender",E336,B336="Stray",E336+6,B336="Stray w/identification",E336+11,B336="Bite",E336+10,B336="Other",Blank)</f>
        <v>45769</v>
      </c>
      <c r="G336" s="2">
        <v>45784</v>
      </c>
      <c r="H336" s="5">
        <f t="shared" si="17"/>
        <v>15</v>
      </c>
      <c r="I336" s="5">
        <f t="shared" si="18"/>
        <v>15</v>
      </c>
      <c r="J336" s="2" t="s">
        <v>31</v>
      </c>
      <c r="K336" s="2" t="s">
        <v>588</v>
      </c>
      <c r="M336" t="s">
        <v>33</v>
      </c>
      <c r="AD336" s="33" t="str">
        <f t="shared" si="19"/>
        <v>Wednesday</v>
      </c>
    </row>
    <row r="337" spans="1:30" x14ac:dyDescent="0.2">
      <c r="A337" s="3">
        <v>40207</v>
      </c>
      <c r="B337" s="2" t="s">
        <v>36</v>
      </c>
      <c r="C337" t="s">
        <v>7</v>
      </c>
      <c r="D337" t="s">
        <v>208</v>
      </c>
      <c r="E337" s="2">
        <v>45769</v>
      </c>
      <c r="F337" s="2" cm="1">
        <f t="array" ref="F337">_xlfn.IFS(B337="Owner Surrender",E337,B337="Stray",E337+6,B337="Stray w/identification",E337+11,B337="Bite",E337+10,B337="Other",Blank)</f>
        <v>45769</v>
      </c>
      <c r="G337" s="2">
        <v>45784</v>
      </c>
      <c r="H337" s="5">
        <f t="shared" si="17"/>
        <v>15</v>
      </c>
      <c r="I337" s="5">
        <f t="shared" si="18"/>
        <v>15</v>
      </c>
      <c r="J337" s="2" t="s">
        <v>31</v>
      </c>
      <c r="K337" s="2" t="s">
        <v>588</v>
      </c>
      <c r="L337" t="s">
        <v>375</v>
      </c>
      <c r="M337" t="s">
        <v>33</v>
      </c>
      <c r="AD337" s="33" t="str">
        <f t="shared" si="19"/>
        <v>Wednesday</v>
      </c>
    </row>
    <row r="338" spans="1:30" x14ac:dyDescent="0.2">
      <c r="A338" s="3">
        <v>40208</v>
      </c>
      <c r="B338" s="2" t="s">
        <v>36</v>
      </c>
      <c r="C338" t="s">
        <v>7</v>
      </c>
      <c r="D338" t="s">
        <v>207</v>
      </c>
      <c r="E338" s="2">
        <v>45768</v>
      </c>
      <c r="F338" s="2" cm="1">
        <f t="array" ref="F338">_xlfn.IFS(B338="Owner Surrender",E338,B338="Stray",E338+6,B338="Stray w/identification",E338+11,B338="Bite",E338+10,B338="Other",Blank)</f>
        <v>45768</v>
      </c>
      <c r="G338" s="2">
        <v>45784</v>
      </c>
      <c r="H338" s="5">
        <f t="shared" si="17"/>
        <v>16</v>
      </c>
      <c r="I338" s="5">
        <f t="shared" si="18"/>
        <v>16</v>
      </c>
      <c r="J338" s="2" t="s">
        <v>31</v>
      </c>
      <c r="K338" s="2" t="s">
        <v>587</v>
      </c>
      <c r="AD338" s="33" t="str">
        <f t="shared" si="19"/>
        <v>Wednesday</v>
      </c>
    </row>
    <row r="339" spans="1:30" x14ac:dyDescent="0.2">
      <c r="A339" s="3">
        <v>40211</v>
      </c>
      <c r="B339" s="2" t="s">
        <v>36</v>
      </c>
      <c r="C339" t="s">
        <v>7</v>
      </c>
      <c r="D339" t="s">
        <v>207</v>
      </c>
      <c r="E339" s="2">
        <v>45770</v>
      </c>
      <c r="F339" s="2" cm="1">
        <f t="array" ref="F339">_xlfn.IFS(B339="Owner Surrender",E339,B339="Stray",E339+6,B339="Stray w/identification",E339+11,B339="Bite",E339+10,B339="Other",Blank)</f>
        <v>45770</v>
      </c>
      <c r="G339" s="2">
        <v>45780</v>
      </c>
      <c r="H339" s="5">
        <f t="shared" si="17"/>
        <v>10</v>
      </c>
      <c r="I339" s="5">
        <f t="shared" si="18"/>
        <v>10</v>
      </c>
      <c r="J339" s="2" t="s">
        <v>8</v>
      </c>
      <c r="K339" s="2" t="s">
        <v>586</v>
      </c>
      <c r="AD339" s="33" t="str">
        <f t="shared" si="19"/>
        <v>Saturday</v>
      </c>
    </row>
    <row r="340" spans="1:30" x14ac:dyDescent="0.2">
      <c r="A340" s="3">
        <v>40212</v>
      </c>
      <c r="B340" s="2" t="s">
        <v>36</v>
      </c>
      <c r="C340" t="s">
        <v>10</v>
      </c>
      <c r="D340" t="s">
        <v>210</v>
      </c>
      <c r="E340" s="2">
        <v>45770</v>
      </c>
      <c r="F340" s="2" cm="1">
        <f t="array" ref="F340">_xlfn.IFS(B340="Owner Surrender",E340,B340="Stray",E340+6,B340="Stray w/identification",E340+11,B340="Bite",E340+10,B340="Other",Blank)</f>
        <v>45770</v>
      </c>
      <c r="G340" s="2">
        <v>45780</v>
      </c>
      <c r="H340" s="5">
        <f t="shared" si="17"/>
        <v>10</v>
      </c>
      <c r="I340" s="5">
        <f t="shared" si="18"/>
        <v>10</v>
      </c>
      <c r="J340" s="2" t="s">
        <v>8</v>
      </c>
      <c r="K340" s="2" t="s">
        <v>586</v>
      </c>
      <c r="AD340" s="33" t="str">
        <f t="shared" si="19"/>
        <v>Saturday</v>
      </c>
    </row>
    <row r="341" spans="1:30" x14ac:dyDescent="0.2">
      <c r="A341" s="3">
        <v>40213</v>
      </c>
      <c r="B341" s="2" t="s">
        <v>38</v>
      </c>
      <c r="C341" t="s">
        <v>7</v>
      </c>
      <c r="D341" t="s">
        <v>207</v>
      </c>
      <c r="E341" s="2">
        <v>45770</v>
      </c>
      <c r="F341" s="2" cm="1">
        <f t="array" ref="F341">_xlfn.IFS(B341="Owner Surrender",E341,B341="Stray",E341+6,B341="Stray w/identification",E341+11,B341="Bite",E341+10,B341="Other",Blank)</f>
        <v>45776</v>
      </c>
      <c r="G341" s="2">
        <v>45776</v>
      </c>
      <c r="H341" s="5">
        <f t="shared" si="17"/>
        <v>6</v>
      </c>
      <c r="I341" s="5">
        <f t="shared" si="18"/>
        <v>0</v>
      </c>
      <c r="J341" s="2" t="s">
        <v>31</v>
      </c>
      <c r="K341" s="2" t="s">
        <v>587</v>
      </c>
      <c r="M341" t="s">
        <v>34</v>
      </c>
      <c r="AD341" s="33" t="str">
        <f t="shared" si="19"/>
        <v>Tuesday</v>
      </c>
    </row>
    <row r="342" spans="1:30" x14ac:dyDescent="0.2">
      <c r="A342" s="3">
        <v>40214</v>
      </c>
      <c r="B342" s="2" t="s">
        <v>38</v>
      </c>
      <c r="C342" t="s">
        <v>7</v>
      </c>
      <c r="D342" t="s">
        <v>208</v>
      </c>
      <c r="E342" s="2">
        <v>45770</v>
      </c>
      <c r="F342" s="2" cm="1">
        <f t="array" ref="F342">_xlfn.IFS(B342="Owner Surrender",E342,B342="Stray",E342+6,B342="Stray w/identification",E342+11,B342="Bite",E342+10,B342="Other",Blank)</f>
        <v>45776</v>
      </c>
      <c r="G342" s="2">
        <v>45779</v>
      </c>
      <c r="H342" s="5">
        <f t="shared" si="17"/>
        <v>9</v>
      </c>
      <c r="I342" s="5">
        <f t="shared" si="18"/>
        <v>3</v>
      </c>
      <c r="J342" s="2" t="s">
        <v>31</v>
      </c>
      <c r="K342" s="2" t="s">
        <v>587</v>
      </c>
      <c r="AD342" s="33" t="str">
        <f t="shared" si="19"/>
        <v>Friday</v>
      </c>
    </row>
    <row r="343" spans="1:30" x14ac:dyDescent="0.2">
      <c r="A343" s="3">
        <v>40215</v>
      </c>
      <c r="B343" s="2" t="s">
        <v>38</v>
      </c>
      <c r="C343" t="s">
        <v>7</v>
      </c>
      <c r="D343" t="s">
        <v>208</v>
      </c>
      <c r="E343" s="2">
        <v>45770</v>
      </c>
      <c r="F343" s="2" cm="1">
        <f t="array" ref="F343">_xlfn.IFS(B343="Owner Surrender",E343,B343="Stray",E343+6,B343="Stray w/identification",E343+11,B343="Bite",E343+10,B343="Other",Blank)</f>
        <v>45776</v>
      </c>
      <c r="G343" s="2">
        <v>45779</v>
      </c>
      <c r="H343" s="5">
        <f t="shared" si="17"/>
        <v>9</v>
      </c>
      <c r="I343" s="5">
        <f t="shared" si="18"/>
        <v>3</v>
      </c>
      <c r="J343" s="2" t="s">
        <v>31</v>
      </c>
      <c r="K343" s="2" t="s">
        <v>587</v>
      </c>
      <c r="AD343" s="33" t="str">
        <f t="shared" si="19"/>
        <v>Friday</v>
      </c>
    </row>
    <row r="344" spans="1:30" x14ac:dyDescent="0.2">
      <c r="A344" s="3">
        <v>40216</v>
      </c>
      <c r="B344" s="2" t="s">
        <v>38</v>
      </c>
      <c r="C344" t="s">
        <v>7</v>
      </c>
      <c r="D344" t="s">
        <v>208</v>
      </c>
      <c r="E344" s="2">
        <v>45770</v>
      </c>
      <c r="F344" s="2" cm="1">
        <f t="array" ref="F344">_xlfn.IFS(B344="Owner Surrender",E344,B344="Stray",E344+6,B344="Stray w/identification",E344+11,B344="Bite",E344+10,B344="Other",Blank)</f>
        <v>45776</v>
      </c>
      <c r="G344" s="2">
        <v>45779</v>
      </c>
      <c r="H344" s="5">
        <f t="shared" si="17"/>
        <v>9</v>
      </c>
      <c r="I344" s="5">
        <f t="shared" si="18"/>
        <v>3</v>
      </c>
      <c r="J344" s="2" t="s">
        <v>31</v>
      </c>
      <c r="K344" s="2" t="s">
        <v>587</v>
      </c>
      <c r="AD344" s="33" t="str">
        <f t="shared" si="19"/>
        <v>Friday</v>
      </c>
    </row>
    <row r="345" spans="1:30" x14ac:dyDescent="0.2">
      <c r="A345" s="3">
        <v>40217</v>
      </c>
      <c r="B345" s="2" t="s">
        <v>38</v>
      </c>
      <c r="C345" t="s">
        <v>7</v>
      </c>
      <c r="D345" t="s">
        <v>207</v>
      </c>
      <c r="E345" s="2">
        <v>45770</v>
      </c>
      <c r="F345" s="2" cm="1">
        <f t="array" ref="F345">_xlfn.IFS(B345="Owner Surrender",E345,B345="Stray",E345+6,B345="Stray w/identification",E345+11,B345="Bite",E345+10,B345="Other",Blank)</f>
        <v>45776</v>
      </c>
      <c r="G345" s="2">
        <v>45786</v>
      </c>
      <c r="H345" s="5">
        <f t="shared" si="17"/>
        <v>16</v>
      </c>
      <c r="I345" s="5">
        <f t="shared" si="18"/>
        <v>10</v>
      </c>
      <c r="J345" s="2" t="s">
        <v>31</v>
      </c>
      <c r="K345" s="2" t="s">
        <v>587</v>
      </c>
      <c r="AD345" s="33" t="str">
        <f t="shared" si="19"/>
        <v>Friday</v>
      </c>
    </row>
    <row r="346" spans="1:30" x14ac:dyDescent="0.2">
      <c r="A346" s="3">
        <v>40218</v>
      </c>
      <c r="B346" s="2" t="s">
        <v>38</v>
      </c>
      <c r="C346" t="s">
        <v>7</v>
      </c>
      <c r="D346" t="s">
        <v>207</v>
      </c>
      <c r="E346" s="2">
        <v>45772</v>
      </c>
      <c r="F346" s="2" cm="1">
        <f t="array" ref="F346">_xlfn.IFS(B346="Owner Surrender",E346,B346="Stray",E346+6,B346="Stray w/identification",E346+11,B346="Bite",E346+10,B346="Other",Blank)</f>
        <v>45778</v>
      </c>
      <c r="G346" s="2">
        <v>45784</v>
      </c>
      <c r="H346" s="5">
        <f t="shared" si="17"/>
        <v>12</v>
      </c>
      <c r="I346" s="5">
        <f t="shared" si="18"/>
        <v>6</v>
      </c>
      <c r="J346" s="2" t="s">
        <v>31</v>
      </c>
      <c r="K346" s="2" t="s">
        <v>587</v>
      </c>
      <c r="AD346" s="33" t="str">
        <f t="shared" si="19"/>
        <v>Wednesday</v>
      </c>
    </row>
    <row r="347" spans="1:30" x14ac:dyDescent="0.2">
      <c r="A347" s="3">
        <v>40219</v>
      </c>
      <c r="B347" s="2" t="s">
        <v>38</v>
      </c>
      <c r="C347" t="s">
        <v>7</v>
      </c>
      <c r="D347" t="s">
        <v>207</v>
      </c>
      <c r="E347" s="2">
        <v>45770</v>
      </c>
      <c r="F347" s="2" cm="1">
        <f t="array" ref="F347">_xlfn.IFS(B347="Owner Surrender",E347,B347="Stray",E347+6,B347="Stray w/identification",E347+11,B347="Bite",E347+10,B347="Other",Blank)</f>
        <v>45776</v>
      </c>
      <c r="G347" s="2">
        <v>45776</v>
      </c>
      <c r="H347" s="5">
        <f t="shared" si="17"/>
        <v>6</v>
      </c>
      <c r="I347" s="5">
        <f t="shared" si="18"/>
        <v>0</v>
      </c>
      <c r="J347" s="2" t="s">
        <v>31</v>
      </c>
      <c r="K347" s="2" t="s">
        <v>587</v>
      </c>
      <c r="L347" t="s">
        <v>374</v>
      </c>
      <c r="AD347" s="33" t="str">
        <f t="shared" si="19"/>
        <v>Tuesday</v>
      </c>
    </row>
    <row r="348" spans="1:30" x14ac:dyDescent="0.2">
      <c r="A348" s="3">
        <v>40220</v>
      </c>
      <c r="B348" s="2" t="s">
        <v>38</v>
      </c>
      <c r="C348" t="s">
        <v>7</v>
      </c>
      <c r="D348" t="s">
        <v>208</v>
      </c>
      <c r="E348" s="2">
        <v>45772</v>
      </c>
      <c r="F348" s="2" cm="1">
        <f t="array" ref="F348">_xlfn.IFS(B348="Owner Surrender",E348,B348="Stray",E348+6,B348="Stray w/identification",E348+11,B348="Bite",E348+10,B348="Other",Blank)</f>
        <v>45778</v>
      </c>
      <c r="G348" s="2">
        <v>45832</v>
      </c>
      <c r="H348" s="5">
        <f t="shared" si="17"/>
        <v>60</v>
      </c>
      <c r="I348" s="5">
        <f t="shared" si="18"/>
        <v>54</v>
      </c>
      <c r="J348" s="2" t="s">
        <v>31</v>
      </c>
      <c r="K348" s="2" t="s">
        <v>587</v>
      </c>
      <c r="AD348" s="33" t="str">
        <f t="shared" si="19"/>
        <v>Tuesday</v>
      </c>
    </row>
    <row r="349" spans="1:30" x14ac:dyDescent="0.2">
      <c r="A349" s="3">
        <v>40221</v>
      </c>
      <c r="B349" s="2" t="s">
        <v>38</v>
      </c>
      <c r="C349" t="s">
        <v>7</v>
      </c>
      <c r="D349" t="s">
        <v>208</v>
      </c>
      <c r="E349" s="2">
        <v>45770</v>
      </c>
      <c r="F349" s="2" cm="1">
        <f t="array" ref="F349">_xlfn.IFS(B349="Owner Surrender",E349,B349="Stray",E349+6,B349="Stray w/identification",E349+11,B349="Bite",E349+10,B349="Other",Blank)</f>
        <v>45776</v>
      </c>
      <c r="G349" s="2">
        <v>45784</v>
      </c>
      <c r="H349" s="5">
        <f t="shared" si="17"/>
        <v>14</v>
      </c>
      <c r="I349" s="5">
        <f t="shared" si="18"/>
        <v>8</v>
      </c>
      <c r="J349" s="2" t="s">
        <v>31</v>
      </c>
      <c r="K349" s="2" t="s">
        <v>587</v>
      </c>
      <c r="AD349" s="33" t="str">
        <f t="shared" si="19"/>
        <v>Wednesday</v>
      </c>
    </row>
    <row r="350" spans="1:30" x14ac:dyDescent="0.2">
      <c r="A350" s="3">
        <v>40222</v>
      </c>
      <c r="B350" s="2" t="s">
        <v>38</v>
      </c>
      <c r="C350" t="s">
        <v>7</v>
      </c>
      <c r="D350" t="s">
        <v>208</v>
      </c>
      <c r="E350" s="2">
        <v>45770</v>
      </c>
      <c r="F350" s="2" cm="1">
        <f t="array" ref="F350">_xlfn.IFS(B350="Owner Surrender",E350,B350="Stray",E350+6,B350="Stray w/identification",E350+11,B350="Bite",E350+10,B350="Other",Blank)</f>
        <v>45776</v>
      </c>
      <c r="G350" s="2">
        <v>45784</v>
      </c>
      <c r="H350" s="5">
        <f t="shared" si="17"/>
        <v>14</v>
      </c>
      <c r="I350" s="5">
        <f t="shared" si="18"/>
        <v>8</v>
      </c>
      <c r="J350" s="2" t="s">
        <v>31</v>
      </c>
      <c r="K350" s="2" t="s">
        <v>587</v>
      </c>
      <c r="AD350" s="33" t="str">
        <f t="shared" si="19"/>
        <v>Wednesday</v>
      </c>
    </row>
    <row r="351" spans="1:30" x14ac:dyDescent="0.2">
      <c r="A351" s="3">
        <v>40223</v>
      </c>
      <c r="B351" s="2" t="s">
        <v>38</v>
      </c>
      <c r="C351" t="s">
        <v>7</v>
      </c>
      <c r="D351" t="s">
        <v>208</v>
      </c>
      <c r="E351" s="2">
        <v>45770</v>
      </c>
      <c r="F351" s="2" cm="1">
        <f t="array" ref="F351">_xlfn.IFS(B351="Owner Surrender",E351,B351="Stray",E351+6,B351="Stray w/identification",E351+11,B351="Bite",E351+10,B351="Other",Blank)</f>
        <v>45776</v>
      </c>
      <c r="G351" s="2">
        <v>45784</v>
      </c>
      <c r="H351" s="5">
        <f t="shared" si="17"/>
        <v>14</v>
      </c>
      <c r="I351" s="5">
        <f t="shared" si="18"/>
        <v>8</v>
      </c>
      <c r="J351" s="2" t="s">
        <v>31</v>
      </c>
      <c r="K351" s="2" t="s">
        <v>587</v>
      </c>
      <c r="AD351" s="33" t="str">
        <f t="shared" si="19"/>
        <v>Wednesday</v>
      </c>
    </row>
    <row r="352" spans="1:30" x14ac:dyDescent="0.2">
      <c r="A352" s="3">
        <v>40224</v>
      </c>
      <c r="B352" s="2" t="s">
        <v>38</v>
      </c>
      <c r="C352" t="s">
        <v>7</v>
      </c>
      <c r="D352" t="s">
        <v>208</v>
      </c>
      <c r="E352" s="2">
        <v>45772</v>
      </c>
      <c r="F352" s="2" cm="1">
        <f t="array" ref="F352">_xlfn.IFS(B352="Owner Surrender",E352,B352="Stray",E352+6,B352="Stray w/identification",E352+11,B352="Bite",E352+10,B352="Other",Blank)</f>
        <v>45778</v>
      </c>
      <c r="G352" s="2">
        <v>45797</v>
      </c>
      <c r="H352" s="5">
        <f t="shared" si="17"/>
        <v>25</v>
      </c>
      <c r="I352" s="5">
        <f t="shared" si="18"/>
        <v>19</v>
      </c>
      <c r="J352" s="2" t="s">
        <v>31</v>
      </c>
      <c r="K352" s="2" t="s">
        <v>587</v>
      </c>
      <c r="AD352" s="33" t="str">
        <f t="shared" si="19"/>
        <v>Tuesday</v>
      </c>
    </row>
    <row r="353" spans="1:30" x14ac:dyDescent="0.2">
      <c r="A353" s="3">
        <v>40226</v>
      </c>
      <c r="B353" s="2" t="s">
        <v>36</v>
      </c>
      <c r="C353" t="s">
        <v>7</v>
      </c>
      <c r="D353" t="s">
        <v>207</v>
      </c>
      <c r="E353" s="2">
        <v>45772</v>
      </c>
      <c r="F353" s="2" cm="1">
        <f t="array" ref="F353">_xlfn.IFS(B353="Owner Surrender",E353,B353="Stray",E353+6,B353="Stray w/identification",E353+11,B353="Bite",E353+10,B353="Other",Blank)</f>
        <v>45772</v>
      </c>
      <c r="G353" s="2">
        <v>45791</v>
      </c>
      <c r="H353" s="5">
        <f t="shared" si="17"/>
        <v>19</v>
      </c>
      <c r="I353" s="5">
        <f t="shared" si="18"/>
        <v>19</v>
      </c>
      <c r="J353" s="2" t="s">
        <v>18</v>
      </c>
      <c r="K353" s="2" t="s">
        <v>586</v>
      </c>
      <c r="AD353" s="33" t="str">
        <f t="shared" si="19"/>
        <v>Wednesday</v>
      </c>
    </row>
    <row r="354" spans="1:30" x14ac:dyDescent="0.2">
      <c r="A354" s="3">
        <v>40227</v>
      </c>
      <c r="B354" s="2" t="s">
        <v>36</v>
      </c>
      <c r="C354" t="s">
        <v>7</v>
      </c>
      <c r="D354" t="s">
        <v>208</v>
      </c>
      <c r="E354" s="2">
        <v>45772</v>
      </c>
      <c r="F354" s="2" cm="1">
        <f t="array" ref="F354">_xlfn.IFS(B354="Owner Surrender",E354,B354="Stray",E354+6,B354="Stray w/identification",E354+11,B354="Bite",E354+10,B354="Other",Blank)</f>
        <v>45772</v>
      </c>
      <c r="G354" s="2">
        <v>45791</v>
      </c>
      <c r="H354" s="5">
        <f t="shared" si="17"/>
        <v>19</v>
      </c>
      <c r="I354" s="5">
        <f t="shared" si="18"/>
        <v>19</v>
      </c>
      <c r="J354" s="2" t="s">
        <v>18</v>
      </c>
      <c r="K354" s="2" t="s">
        <v>586</v>
      </c>
      <c r="AD354" s="33" t="str">
        <f t="shared" si="19"/>
        <v>Wednesday</v>
      </c>
    </row>
    <row r="355" spans="1:30" x14ac:dyDescent="0.2">
      <c r="A355" s="3">
        <v>40228</v>
      </c>
      <c r="B355" s="2" t="s">
        <v>36</v>
      </c>
      <c r="C355" t="s">
        <v>7</v>
      </c>
      <c r="D355" t="s">
        <v>208</v>
      </c>
      <c r="E355" s="2">
        <v>45772</v>
      </c>
      <c r="F355" s="2" cm="1">
        <f t="array" ref="F355">_xlfn.IFS(B355="Owner Surrender",E355,B355="Stray",E355+6,B355="Stray w/identification",E355+11,B355="Bite",E355+10,B355="Other",Blank)</f>
        <v>45772</v>
      </c>
      <c r="G355" s="2">
        <v>45791</v>
      </c>
      <c r="H355" s="5">
        <f t="shared" si="17"/>
        <v>19</v>
      </c>
      <c r="I355" s="5">
        <f t="shared" si="18"/>
        <v>19</v>
      </c>
      <c r="J355" s="2" t="s">
        <v>18</v>
      </c>
      <c r="K355" s="2" t="s">
        <v>586</v>
      </c>
      <c r="AD355" s="33" t="str">
        <f t="shared" si="19"/>
        <v>Wednesday</v>
      </c>
    </row>
    <row r="356" spans="1:30" x14ac:dyDescent="0.2">
      <c r="A356" s="3">
        <v>40229</v>
      </c>
      <c r="B356" s="2" t="s">
        <v>36</v>
      </c>
      <c r="C356" t="s">
        <v>7</v>
      </c>
      <c r="D356" t="s">
        <v>208</v>
      </c>
      <c r="E356" s="2">
        <v>45772</v>
      </c>
      <c r="F356" s="2" cm="1">
        <f t="array" ref="F356">_xlfn.IFS(B356="Owner Surrender",E356,B356="Stray",E356+6,B356="Stray w/identification",E356+11,B356="Bite",E356+10,B356="Other",Blank)</f>
        <v>45772</v>
      </c>
      <c r="G356" s="2">
        <v>45772</v>
      </c>
      <c r="H356" s="5">
        <f t="shared" si="17"/>
        <v>0</v>
      </c>
      <c r="I356" s="5">
        <f t="shared" si="18"/>
        <v>0</v>
      </c>
      <c r="J356" s="2" t="s">
        <v>31</v>
      </c>
      <c r="K356" s="2" t="s">
        <v>588</v>
      </c>
      <c r="M356" t="s">
        <v>33</v>
      </c>
      <c r="AD356" s="33" t="str">
        <f t="shared" si="19"/>
        <v>Friday</v>
      </c>
    </row>
    <row r="357" spans="1:30" x14ac:dyDescent="0.2">
      <c r="A357" s="3">
        <v>40230</v>
      </c>
      <c r="B357" s="2" t="s">
        <v>36</v>
      </c>
      <c r="C357" t="s">
        <v>7</v>
      </c>
      <c r="D357" t="s">
        <v>208</v>
      </c>
      <c r="E357" s="2">
        <v>45772</v>
      </c>
      <c r="F357" s="2" cm="1">
        <f t="array" ref="F357">_xlfn.IFS(B357="Owner Surrender",E357,B357="Stray",E357+6,B357="Stray w/identification",E357+11,B357="Bite",E357+10,B357="Other",Blank)</f>
        <v>45772</v>
      </c>
      <c r="G357" s="2">
        <v>45791</v>
      </c>
      <c r="H357" s="5">
        <f t="shared" si="17"/>
        <v>19</v>
      </c>
      <c r="I357" s="5">
        <f t="shared" si="18"/>
        <v>19</v>
      </c>
      <c r="J357" s="2" t="s">
        <v>18</v>
      </c>
      <c r="K357" s="2" t="s">
        <v>586</v>
      </c>
      <c r="AD357" s="33" t="str">
        <f t="shared" si="19"/>
        <v>Wednesday</v>
      </c>
    </row>
    <row r="358" spans="1:30" x14ac:dyDescent="0.2">
      <c r="A358" s="3">
        <v>40231</v>
      </c>
      <c r="B358" s="2" t="s">
        <v>36</v>
      </c>
      <c r="C358" t="s">
        <v>7</v>
      </c>
      <c r="D358" t="s">
        <v>208</v>
      </c>
      <c r="E358" s="2">
        <v>45772</v>
      </c>
      <c r="F358" s="2" cm="1">
        <f t="array" ref="F358">_xlfn.IFS(B358="Owner Surrender",E358,B358="Stray",E358+6,B358="Stray w/identification",E358+11,B358="Bite",E358+10,B358="Other",Blank)</f>
        <v>45772</v>
      </c>
      <c r="G358" s="2">
        <v>45791</v>
      </c>
      <c r="H358" s="5">
        <f t="shared" si="17"/>
        <v>19</v>
      </c>
      <c r="I358" s="5">
        <f t="shared" si="18"/>
        <v>19</v>
      </c>
      <c r="J358" s="2" t="s">
        <v>18</v>
      </c>
      <c r="K358" s="2" t="s">
        <v>586</v>
      </c>
      <c r="AD358" s="33" t="str">
        <f t="shared" si="19"/>
        <v>Wednesday</v>
      </c>
    </row>
    <row r="359" spans="1:30" x14ac:dyDescent="0.2">
      <c r="A359" s="3">
        <v>40232</v>
      </c>
      <c r="B359" s="2" t="s">
        <v>36</v>
      </c>
      <c r="C359" t="s">
        <v>7</v>
      </c>
      <c r="D359" t="s">
        <v>208</v>
      </c>
      <c r="E359" s="2">
        <v>45772</v>
      </c>
      <c r="F359" s="2" cm="1">
        <f t="array" ref="F359">_xlfn.IFS(B359="Owner Surrender",E359,B359="Stray",E359+6,B359="Stray w/identification",E359+11,B359="Bite",E359+10,B359="Other",Blank)</f>
        <v>45772</v>
      </c>
      <c r="G359" s="2">
        <v>45791</v>
      </c>
      <c r="H359" s="5">
        <f t="shared" ref="H359:H422" si="20">+G359-E359</f>
        <v>19</v>
      </c>
      <c r="I359" s="5">
        <f t="shared" si="18"/>
        <v>19</v>
      </c>
      <c r="J359" s="2" t="s">
        <v>18</v>
      </c>
      <c r="K359" s="2" t="s">
        <v>586</v>
      </c>
      <c r="AD359" s="33" t="str">
        <f t="shared" si="19"/>
        <v>Wednesday</v>
      </c>
    </row>
    <row r="360" spans="1:30" x14ac:dyDescent="0.2">
      <c r="A360" s="3">
        <v>40233</v>
      </c>
      <c r="B360" s="2" t="s">
        <v>36</v>
      </c>
      <c r="C360" t="s">
        <v>7</v>
      </c>
      <c r="D360" t="s">
        <v>208</v>
      </c>
      <c r="E360" s="2">
        <v>45772</v>
      </c>
      <c r="F360" s="2" cm="1">
        <f t="array" ref="F360">_xlfn.IFS(B360="Owner Surrender",E360,B360="Stray",E360+6,B360="Stray w/identification",E360+11,B360="Bite",E360+10,B360="Other",Blank)</f>
        <v>45772</v>
      </c>
      <c r="G360" s="2">
        <v>45791</v>
      </c>
      <c r="H360" s="5">
        <f t="shared" si="20"/>
        <v>19</v>
      </c>
      <c r="I360" s="5">
        <f t="shared" si="18"/>
        <v>19</v>
      </c>
      <c r="J360" s="2" t="s">
        <v>18</v>
      </c>
      <c r="K360" s="2" t="s">
        <v>586</v>
      </c>
      <c r="AD360" s="33" t="str">
        <f t="shared" si="19"/>
        <v>Wednesday</v>
      </c>
    </row>
    <row r="361" spans="1:30" x14ac:dyDescent="0.2">
      <c r="A361" s="3">
        <v>40235</v>
      </c>
      <c r="B361" s="2" t="s">
        <v>38</v>
      </c>
      <c r="C361" t="s">
        <v>7</v>
      </c>
      <c r="D361" t="s">
        <v>207</v>
      </c>
      <c r="E361" s="2">
        <v>45772</v>
      </c>
      <c r="F361" s="2" cm="1">
        <f t="array" ref="F361">_xlfn.IFS(B361="Owner Surrender",E361,B361="Stray",E361+6,B361="Stray w/identification",E361+11,B361="Bite",E361+10,B361="Other",Blank)</f>
        <v>45778</v>
      </c>
      <c r="G361" s="2">
        <v>45779</v>
      </c>
      <c r="H361" s="5">
        <f t="shared" si="20"/>
        <v>7</v>
      </c>
      <c r="I361" s="5">
        <f t="shared" ref="I361:I424" si="21">G361-F361</f>
        <v>1</v>
      </c>
      <c r="J361" s="2" t="s">
        <v>31</v>
      </c>
      <c r="K361" s="2" t="s">
        <v>587</v>
      </c>
      <c r="L361" t="s">
        <v>373</v>
      </c>
      <c r="M361" t="s">
        <v>34</v>
      </c>
      <c r="AD361" s="33" t="str">
        <f t="shared" si="19"/>
        <v>Friday</v>
      </c>
    </row>
    <row r="362" spans="1:30" x14ac:dyDescent="0.2">
      <c r="A362" s="3">
        <v>40236</v>
      </c>
      <c r="B362" s="2" t="s">
        <v>38</v>
      </c>
      <c r="C362" t="s">
        <v>10</v>
      </c>
      <c r="D362" t="s">
        <v>208</v>
      </c>
      <c r="E362" s="2">
        <v>45772</v>
      </c>
      <c r="F362" s="2" cm="1">
        <f t="array" ref="F362">_xlfn.IFS(B362="Owner Surrender",E362,B362="Stray",E362+6,B362="Stray w/identification",E362+11,B362="Bite",E362+10,B362="Other",Blank)</f>
        <v>45778</v>
      </c>
      <c r="G362" s="2">
        <v>45786</v>
      </c>
      <c r="H362" s="5">
        <f t="shared" si="20"/>
        <v>14</v>
      </c>
      <c r="I362" s="5">
        <f t="shared" si="21"/>
        <v>8</v>
      </c>
      <c r="J362" s="2" t="s">
        <v>28</v>
      </c>
      <c r="K362" s="2" t="s">
        <v>586</v>
      </c>
      <c r="M362" t="s">
        <v>111</v>
      </c>
      <c r="AD362" s="33" t="str">
        <f t="shared" si="19"/>
        <v>Friday</v>
      </c>
    </row>
    <row r="363" spans="1:30" x14ac:dyDescent="0.2">
      <c r="A363" s="3">
        <v>40237</v>
      </c>
      <c r="B363" s="2" t="s">
        <v>38</v>
      </c>
      <c r="C363" t="s">
        <v>10</v>
      </c>
      <c r="D363" t="s">
        <v>208</v>
      </c>
      <c r="E363" s="2">
        <v>45772</v>
      </c>
      <c r="F363" s="2" cm="1">
        <f t="array" ref="F363">_xlfn.IFS(B363="Owner Surrender",E363,B363="Stray",E363+6,B363="Stray w/identification",E363+11,B363="Bite",E363+10,B363="Other",Blank)</f>
        <v>45778</v>
      </c>
      <c r="G363" s="2">
        <v>45791</v>
      </c>
      <c r="H363" s="5">
        <f t="shared" si="20"/>
        <v>19</v>
      </c>
      <c r="I363" s="5">
        <f t="shared" si="21"/>
        <v>13</v>
      </c>
      <c r="J363" s="2" t="s">
        <v>18</v>
      </c>
      <c r="K363" s="2" t="s">
        <v>586</v>
      </c>
      <c r="AD363" s="33" t="str">
        <f t="shared" si="19"/>
        <v>Wednesday</v>
      </c>
    </row>
    <row r="364" spans="1:30" x14ac:dyDescent="0.2">
      <c r="A364" s="3">
        <v>40238</v>
      </c>
      <c r="B364" s="2" t="s">
        <v>38</v>
      </c>
      <c r="C364" t="s">
        <v>10</v>
      </c>
      <c r="D364" t="s">
        <v>208</v>
      </c>
      <c r="E364" s="2">
        <v>45772</v>
      </c>
      <c r="F364" s="2" cm="1">
        <f t="array" ref="F364">_xlfn.IFS(B364="Owner Surrender",E364,B364="Stray",E364+6,B364="Stray w/identification",E364+11,B364="Bite",E364+10,B364="Other",Blank)</f>
        <v>45778</v>
      </c>
      <c r="G364" s="2">
        <v>45772</v>
      </c>
      <c r="H364" s="5">
        <f t="shared" si="20"/>
        <v>0</v>
      </c>
      <c r="I364" s="5">
        <f t="shared" si="21"/>
        <v>-6</v>
      </c>
      <c r="J364" s="2" t="s">
        <v>31</v>
      </c>
      <c r="K364" s="2" t="s">
        <v>588</v>
      </c>
      <c r="M364" t="s">
        <v>123</v>
      </c>
      <c r="AD364" s="33" t="str">
        <f t="shared" si="19"/>
        <v>Friday</v>
      </c>
    </row>
    <row r="365" spans="1:30" x14ac:dyDescent="0.2">
      <c r="A365" s="3">
        <v>40239</v>
      </c>
      <c r="B365" s="2" t="s">
        <v>36</v>
      </c>
      <c r="C365" t="s">
        <v>7</v>
      </c>
      <c r="D365" t="s">
        <v>207</v>
      </c>
      <c r="E365" s="2">
        <v>45772</v>
      </c>
      <c r="F365" s="2" cm="1">
        <f t="array" ref="F365">_xlfn.IFS(B365="Owner Surrender",E365,B365="Stray",E365+6,B365="Stray w/identification",E365+11,B365="Bite",E365+10,B365="Other",Blank)</f>
        <v>45772</v>
      </c>
      <c r="G365" s="2">
        <v>45776</v>
      </c>
      <c r="H365" s="5">
        <f t="shared" si="20"/>
        <v>4</v>
      </c>
      <c r="I365" s="5">
        <f t="shared" si="21"/>
        <v>4</v>
      </c>
      <c r="J365" s="2" t="s">
        <v>31</v>
      </c>
      <c r="K365" s="2" t="s">
        <v>587</v>
      </c>
      <c r="L365" t="s">
        <v>373</v>
      </c>
      <c r="AD365" s="33" t="str">
        <f t="shared" si="19"/>
        <v>Tuesday</v>
      </c>
    </row>
    <row r="366" spans="1:30" x14ac:dyDescent="0.2">
      <c r="A366" s="3">
        <v>40241</v>
      </c>
      <c r="B366" s="2" t="s">
        <v>38</v>
      </c>
      <c r="C366" t="s">
        <v>7</v>
      </c>
      <c r="D366" t="s">
        <v>208</v>
      </c>
      <c r="E366" s="2">
        <v>45773</v>
      </c>
      <c r="F366" s="2" cm="1">
        <f t="array" ref="F366">_xlfn.IFS(B366="Owner Surrender",E366,B366="Stray",E366+6,B366="Stray w/identification",E366+11,B366="Bite",E366+10,B366="Other",Blank)</f>
        <v>45779</v>
      </c>
      <c r="G366" s="2">
        <v>45784</v>
      </c>
      <c r="H366" s="5">
        <f t="shared" si="20"/>
        <v>11</v>
      </c>
      <c r="I366" s="5">
        <f t="shared" si="21"/>
        <v>5</v>
      </c>
      <c r="J366" s="2" t="s">
        <v>11</v>
      </c>
      <c r="K366" s="2" t="s">
        <v>586</v>
      </c>
      <c r="AD366" s="33" t="str">
        <f t="shared" si="19"/>
        <v>Wednesday</v>
      </c>
    </row>
    <row r="367" spans="1:30" x14ac:dyDescent="0.2">
      <c r="A367" s="3">
        <v>40242</v>
      </c>
      <c r="B367" s="2" t="s">
        <v>38</v>
      </c>
      <c r="C367" t="s">
        <v>7</v>
      </c>
      <c r="D367" t="s">
        <v>208</v>
      </c>
      <c r="E367" s="2">
        <v>45773</v>
      </c>
      <c r="F367" s="2" cm="1">
        <f t="array" ref="F367">_xlfn.IFS(B367="Owner Surrender",E367,B367="Stray",E367+6,B367="Stray w/identification",E367+11,B367="Bite",E367+10,B367="Other",Blank)</f>
        <v>45779</v>
      </c>
      <c r="G367" s="2">
        <v>45784</v>
      </c>
      <c r="H367" s="5">
        <f t="shared" si="20"/>
        <v>11</v>
      </c>
      <c r="I367" s="5">
        <f t="shared" si="21"/>
        <v>5</v>
      </c>
      <c r="J367" s="2" t="s">
        <v>11</v>
      </c>
      <c r="K367" s="2" t="s">
        <v>586</v>
      </c>
      <c r="L367" t="s">
        <v>380</v>
      </c>
      <c r="AD367" s="33" t="str">
        <f t="shared" si="19"/>
        <v>Wednesday</v>
      </c>
    </row>
    <row r="368" spans="1:30" x14ac:dyDescent="0.2">
      <c r="A368" s="3">
        <v>40243</v>
      </c>
      <c r="B368" s="2" t="s">
        <v>38</v>
      </c>
      <c r="C368" t="s">
        <v>7</v>
      </c>
      <c r="D368" t="s">
        <v>208</v>
      </c>
      <c r="E368" s="2">
        <v>45773</v>
      </c>
      <c r="F368" s="2" cm="1">
        <f t="array" ref="F368">_xlfn.IFS(B368="Owner Surrender",E368,B368="Stray",E368+6,B368="Stray w/identification",E368+11,B368="Bite",E368+10,B368="Other",Blank)</f>
        <v>45779</v>
      </c>
      <c r="G368" s="2">
        <v>45778</v>
      </c>
      <c r="H368" s="5">
        <f t="shared" si="20"/>
        <v>5</v>
      </c>
      <c r="I368" s="5">
        <f t="shared" si="21"/>
        <v>-1</v>
      </c>
      <c r="J368" s="2" t="s">
        <v>31</v>
      </c>
      <c r="K368" s="2" t="s">
        <v>587</v>
      </c>
      <c r="L368" t="s">
        <v>372</v>
      </c>
      <c r="AD368" s="33" t="str">
        <f t="shared" si="19"/>
        <v>Thursday</v>
      </c>
    </row>
    <row r="369" spans="1:30" x14ac:dyDescent="0.2">
      <c r="A369" s="3">
        <v>40264</v>
      </c>
      <c r="B369" s="2" t="s">
        <v>38</v>
      </c>
      <c r="C369" t="s">
        <v>10</v>
      </c>
      <c r="D369" t="s">
        <v>207</v>
      </c>
      <c r="E369" s="2">
        <v>45775</v>
      </c>
      <c r="F369" s="2" cm="1">
        <f t="array" ref="F369">_xlfn.IFS(B369="Owner Surrender",E369,B369="Stray",E369+6,B369="Stray w/identification",E369+11,B369="Bite",E369+10,B369="Other",Blank)</f>
        <v>45781</v>
      </c>
      <c r="G369" s="2">
        <v>45786</v>
      </c>
      <c r="H369" s="5">
        <f t="shared" si="20"/>
        <v>11</v>
      </c>
      <c r="I369" s="5">
        <f t="shared" si="21"/>
        <v>5</v>
      </c>
      <c r="J369" s="2" t="s">
        <v>31</v>
      </c>
      <c r="K369" s="2" t="s">
        <v>587</v>
      </c>
      <c r="AD369" s="33" t="str">
        <f t="shared" si="19"/>
        <v>Friday</v>
      </c>
    </row>
    <row r="370" spans="1:30" x14ac:dyDescent="0.2">
      <c r="A370" s="3">
        <v>40266</v>
      </c>
      <c r="B370" s="2" t="s">
        <v>36</v>
      </c>
      <c r="C370" t="s">
        <v>10</v>
      </c>
      <c r="D370" t="s">
        <v>207</v>
      </c>
      <c r="E370" s="2">
        <v>45774</v>
      </c>
      <c r="F370" s="2" cm="1">
        <f t="array" ref="F370">_xlfn.IFS(B370="Owner Surrender",E370,B370="Stray",E370+6,B370="Stray w/identification",E370+11,B370="Bite",E370+10,B370="Other",Blank)</f>
        <v>45774</v>
      </c>
      <c r="G370" s="2">
        <v>45785</v>
      </c>
      <c r="H370" s="5">
        <f t="shared" si="20"/>
        <v>11</v>
      </c>
      <c r="I370" s="5">
        <f t="shared" si="21"/>
        <v>11</v>
      </c>
      <c r="J370" s="2" t="s">
        <v>31</v>
      </c>
      <c r="K370" s="2" t="s">
        <v>587</v>
      </c>
      <c r="AD370" s="33" t="str">
        <f t="shared" si="19"/>
        <v>Thursday</v>
      </c>
    </row>
    <row r="371" spans="1:30" x14ac:dyDescent="0.2">
      <c r="A371" s="3">
        <v>40269</v>
      </c>
      <c r="B371" s="2" t="s">
        <v>38</v>
      </c>
      <c r="C371" t="s">
        <v>7</v>
      </c>
      <c r="D371" t="s">
        <v>207</v>
      </c>
      <c r="E371" s="2">
        <v>45776</v>
      </c>
      <c r="F371" s="2" cm="1">
        <f t="array" ref="F371">_xlfn.IFS(B371="Owner Surrender",E371,B371="Stray",E371+6,B371="Stray w/identification",E371+11,B371="Bite",E371+10,B371="Other",Blank)</f>
        <v>45782</v>
      </c>
      <c r="G371" s="2">
        <v>45785</v>
      </c>
      <c r="H371" s="5">
        <f t="shared" si="20"/>
        <v>9</v>
      </c>
      <c r="I371" s="5">
        <f t="shared" si="21"/>
        <v>3</v>
      </c>
      <c r="J371" s="2" t="s">
        <v>11</v>
      </c>
      <c r="K371" s="2" t="s">
        <v>586</v>
      </c>
      <c r="AD371" s="33" t="str">
        <f t="shared" si="19"/>
        <v>Thursday</v>
      </c>
    </row>
    <row r="372" spans="1:30" x14ac:dyDescent="0.2">
      <c r="A372" s="3">
        <v>40270</v>
      </c>
      <c r="B372" s="2" t="s">
        <v>36</v>
      </c>
      <c r="C372" t="s">
        <v>7</v>
      </c>
      <c r="D372" t="s">
        <v>207</v>
      </c>
      <c r="E372" s="2">
        <v>45776</v>
      </c>
      <c r="F372" s="2" cm="1">
        <f t="array" ref="F372">_xlfn.IFS(B372="Owner Surrender",E372,B372="Stray",E372+6,B372="Stray w/identification",E372+11,B372="Bite",E372+10,B372="Other",Blank)</f>
        <v>45776</v>
      </c>
      <c r="G372" s="2">
        <v>45779</v>
      </c>
      <c r="H372" s="5">
        <f t="shared" si="20"/>
        <v>3</v>
      </c>
      <c r="I372" s="5">
        <f t="shared" si="21"/>
        <v>3</v>
      </c>
      <c r="J372" s="2" t="s">
        <v>31</v>
      </c>
      <c r="K372" s="2" t="s">
        <v>587</v>
      </c>
      <c r="AD372" s="33" t="str">
        <f t="shared" si="19"/>
        <v>Friday</v>
      </c>
    </row>
    <row r="373" spans="1:30" x14ac:dyDescent="0.2">
      <c r="A373" s="3">
        <v>40275</v>
      </c>
      <c r="B373" s="2" t="s">
        <v>38</v>
      </c>
      <c r="C373" t="s">
        <v>7</v>
      </c>
      <c r="D373" t="s">
        <v>207</v>
      </c>
      <c r="E373" s="2">
        <v>45778</v>
      </c>
      <c r="F373" s="2" cm="1">
        <f t="array" ref="F373">_xlfn.IFS(B373="Owner Surrender",E373,B373="Stray",E373+6,B373="Stray w/identification",E373+11,B373="Bite",E373+10,B373="Other",Blank)</f>
        <v>45784</v>
      </c>
      <c r="G373" s="2">
        <v>45784</v>
      </c>
      <c r="H373" s="5">
        <f t="shared" si="20"/>
        <v>6</v>
      </c>
      <c r="I373" s="5">
        <f t="shared" si="21"/>
        <v>0</v>
      </c>
      <c r="J373" s="2" t="s">
        <v>31</v>
      </c>
      <c r="K373" s="2" t="s">
        <v>587</v>
      </c>
      <c r="AD373" s="33" t="str">
        <f t="shared" si="19"/>
        <v>Wednesday</v>
      </c>
    </row>
    <row r="374" spans="1:30" x14ac:dyDescent="0.2">
      <c r="A374" s="3">
        <v>40276</v>
      </c>
      <c r="B374" s="2" t="s">
        <v>38</v>
      </c>
      <c r="C374" t="s">
        <v>7</v>
      </c>
      <c r="D374" t="s">
        <v>208</v>
      </c>
      <c r="E374" s="2">
        <v>45778</v>
      </c>
      <c r="F374" s="2" cm="1">
        <f t="array" ref="F374">_xlfn.IFS(B374="Owner Surrender",E374,B374="Stray",E374+6,B374="Stray w/identification",E374+11,B374="Bite",E374+10,B374="Other",Blank)</f>
        <v>45784</v>
      </c>
      <c r="G374" s="2">
        <v>45784</v>
      </c>
      <c r="H374" s="5">
        <f t="shared" si="20"/>
        <v>6</v>
      </c>
      <c r="I374" s="5">
        <f t="shared" si="21"/>
        <v>0</v>
      </c>
      <c r="J374" s="2" t="s">
        <v>31</v>
      </c>
      <c r="K374" s="2" t="s">
        <v>587</v>
      </c>
      <c r="AD374" s="33" t="str">
        <f t="shared" si="19"/>
        <v>Wednesday</v>
      </c>
    </row>
    <row r="375" spans="1:30" x14ac:dyDescent="0.2">
      <c r="A375" s="3">
        <v>40277</v>
      </c>
      <c r="B375" s="2" t="s">
        <v>38</v>
      </c>
      <c r="C375" t="s">
        <v>7</v>
      </c>
      <c r="D375" t="s">
        <v>208</v>
      </c>
      <c r="E375" s="2">
        <v>45778</v>
      </c>
      <c r="F375" s="2" cm="1">
        <f t="array" ref="F375">_xlfn.IFS(B375="Owner Surrender",E375,B375="Stray",E375+6,B375="Stray w/identification",E375+11,B375="Bite",E375+10,B375="Other",Blank)</f>
        <v>45784</v>
      </c>
      <c r="G375" s="2">
        <v>45784</v>
      </c>
      <c r="H375" s="5">
        <f t="shared" si="20"/>
        <v>6</v>
      </c>
      <c r="I375" s="5">
        <f t="shared" si="21"/>
        <v>0</v>
      </c>
      <c r="J375" s="2" t="s">
        <v>31</v>
      </c>
      <c r="K375" s="2" t="s">
        <v>588</v>
      </c>
      <c r="M375" t="s">
        <v>33</v>
      </c>
      <c r="AD375" s="33" t="str">
        <f t="shared" si="19"/>
        <v>Wednesday</v>
      </c>
    </row>
    <row r="376" spans="1:30" x14ac:dyDescent="0.2">
      <c r="A376" s="3">
        <v>40278</v>
      </c>
      <c r="B376" s="2" t="s">
        <v>38</v>
      </c>
      <c r="C376" t="s">
        <v>7</v>
      </c>
      <c r="D376" t="s">
        <v>208</v>
      </c>
      <c r="E376" s="2">
        <v>45778</v>
      </c>
      <c r="F376" s="2" cm="1">
        <f t="array" ref="F376">_xlfn.IFS(B376="Owner Surrender",E376,B376="Stray",E376+6,B376="Stray w/identification",E376+11,B376="Bite",E376+10,B376="Other",Blank)</f>
        <v>45784</v>
      </c>
      <c r="G376" s="2">
        <v>45784</v>
      </c>
      <c r="H376" s="5">
        <f t="shared" si="20"/>
        <v>6</v>
      </c>
      <c r="I376" s="5">
        <f t="shared" si="21"/>
        <v>0</v>
      </c>
      <c r="J376" s="2" t="s">
        <v>31</v>
      </c>
      <c r="K376" s="2" t="s">
        <v>588</v>
      </c>
      <c r="M376" t="s">
        <v>33</v>
      </c>
      <c r="AD376" s="33" t="str">
        <f t="shared" si="19"/>
        <v>Wednesday</v>
      </c>
    </row>
    <row r="377" spans="1:30" x14ac:dyDescent="0.2">
      <c r="A377" s="3">
        <v>40279</v>
      </c>
      <c r="B377" s="2" t="s">
        <v>38</v>
      </c>
      <c r="C377" t="s">
        <v>7</v>
      </c>
      <c r="D377" t="s">
        <v>208</v>
      </c>
      <c r="E377" s="2">
        <v>45778</v>
      </c>
      <c r="F377" s="2" cm="1">
        <f t="array" ref="F377">_xlfn.IFS(B377="Owner Surrender",E377,B377="Stray",E377+6,B377="Stray w/identification",E377+11,B377="Bite",E377+10,B377="Other",Blank)</f>
        <v>45784</v>
      </c>
      <c r="G377" s="2">
        <v>45784</v>
      </c>
      <c r="H377" s="5">
        <f t="shared" si="20"/>
        <v>6</v>
      </c>
      <c r="I377" s="5">
        <f t="shared" si="21"/>
        <v>0</v>
      </c>
      <c r="J377" s="2" t="s">
        <v>31</v>
      </c>
      <c r="K377" s="2" t="s">
        <v>588</v>
      </c>
      <c r="M377" t="s">
        <v>33</v>
      </c>
      <c r="AD377" s="33" t="str">
        <f t="shared" si="19"/>
        <v>Wednesday</v>
      </c>
    </row>
    <row r="378" spans="1:30" x14ac:dyDescent="0.2">
      <c r="A378" s="3">
        <v>40280</v>
      </c>
      <c r="B378" s="2" t="s">
        <v>38</v>
      </c>
      <c r="C378" t="s">
        <v>7</v>
      </c>
      <c r="D378" t="s">
        <v>208</v>
      </c>
      <c r="E378" s="2">
        <v>45778</v>
      </c>
      <c r="F378" s="2" cm="1">
        <f t="array" ref="F378">_xlfn.IFS(B378="Owner Surrender",E378,B378="Stray",E378+6,B378="Stray w/identification",E378+11,B378="Bite",E378+10,B378="Other",Blank)</f>
        <v>45784</v>
      </c>
      <c r="G378" s="2">
        <v>45784</v>
      </c>
      <c r="H378" s="5">
        <f t="shared" si="20"/>
        <v>6</v>
      </c>
      <c r="I378" s="5">
        <f t="shared" si="21"/>
        <v>0</v>
      </c>
      <c r="J378" s="2" t="s">
        <v>31</v>
      </c>
      <c r="K378" s="2" t="s">
        <v>588</v>
      </c>
      <c r="M378" t="s">
        <v>33</v>
      </c>
      <c r="AD378" s="33" t="str">
        <f t="shared" si="19"/>
        <v>Wednesday</v>
      </c>
    </row>
    <row r="379" spans="1:30" x14ac:dyDescent="0.2">
      <c r="A379" s="3">
        <v>40281</v>
      </c>
      <c r="B379" s="2" t="s">
        <v>38</v>
      </c>
      <c r="C379" t="s">
        <v>7</v>
      </c>
      <c r="D379" t="s">
        <v>208</v>
      </c>
      <c r="E379" s="2">
        <v>45778</v>
      </c>
      <c r="F379" s="2" cm="1">
        <f t="array" ref="F379">_xlfn.IFS(B379="Owner Surrender",E379,B379="Stray",E379+6,B379="Stray w/identification",E379+11,B379="Bite",E379+10,B379="Other",Blank)</f>
        <v>45784</v>
      </c>
      <c r="G379" s="2">
        <v>45784</v>
      </c>
      <c r="H379" s="5">
        <f t="shared" si="20"/>
        <v>6</v>
      </c>
      <c r="I379" s="5">
        <f t="shared" si="21"/>
        <v>0</v>
      </c>
      <c r="J379" s="2" t="s">
        <v>31</v>
      </c>
      <c r="K379" s="2" t="s">
        <v>588</v>
      </c>
      <c r="M379" t="s">
        <v>33</v>
      </c>
      <c r="AD379" s="33" t="str">
        <f t="shared" si="19"/>
        <v>Wednesday</v>
      </c>
    </row>
    <row r="380" spans="1:30" x14ac:dyDescent="0.2">
      <c r="A380" s="3">
        <v>40284</v>
      </c>
      <c r="B380" s="2" t="s">
        <v>36</v>
      </c>
      <c r="C380" t="s">
        <v>7</v>
      </c>
      <c r="D380" t="s">
        <v>208</v>
      </c>
      <c r="E380" s="2">
        <v>45779</v>
      </c>
      <c r="F380" s="2" cm="1">
        <f t="array" ref="F380">_xlfn.IFS(B380="Owner Surrender",E380,B380="Stray",E380+6,B380="Stray w/identification",E380+11,B380="Bite",E380+10,B380="Other",Blank)</f>
        <v>45779</v>
      </c>
      <c r="G380" s="2">
        <v>45845</v>
      </c>
      <c r="H380" s="5">
        <f t="shared" si="20"/>
        <v>66</v>
      </c>
      <c r="I380" s="5">
        <f t="shared" si="21"/>
        <v>66</v>
      </c>
      <c r="J380" s="2" t="s">
        <v>11</v>
      </c>
      <c r="K380" s="2" t="s">
        <v>586</v>
      </c>
      <c r="AD380" s="33" t="str">
        <f t="shared" si="19"/>
        <v>Monday</v>
      </c>
    </row>
    <row r="381" spans="1:30" x14ac:dyDescent="0.2">
      <c r="A381" s="3">
        <v>40285</v>
      </c>
      <c r="B381" s="2" t="s">
        <v>36</v>
      </c>
      <c r="C381" t="s">
        <v>7</v>
      </c>
      <c r="D381" t="s">
        <v>208</v>
      </c>
      <c r="E381" s="2">
        <v>45779</v>
      </c>
      <c r="F381" s="2" cm="1">
        <f t="array" ref="F381">_xlfn.IFS(B381="Owner Surrender",E381,B381="Stray",E381+6,B381="Stray w/identification",E381+11,B381="Bite",E381+10,B381="Other",Blank)</f>
        <v>45779</v>
      </c>
      <c r="G381" s="2">
        <v>45797</v>
      </c>
      <c r="H381" s="5">
        <f t="shared" si="20"/>
        <v>18</v>
      </c>
      <c r="I381" s="5">
        <f t="shared" si="21"/>
        <v>18</v>
      </c>
      <c r="J381" s="2" t="s">
        <v>31</v>
      </c>
      <c r="K381" s="2" t="s">
        <v>587</v>
      </c>
      <c r="AD381" s="33" t="str">
        <f t="shared" si="19"/>
        <v>Tuesday</v>
      </c>
    </row>
    <row r="382" spans="1:30" x14ac:dyDescent="0.2">
      <c r="A382" s="3">
        <v>40286</v>
      </c>
      <c r="B382" s="2" t="s">
        <v>36</v>
      </c>
      <c r="C382" t="s">
        <v>7</v>
      </c>
      <c r="D382" t="s">
        <v>208</v>
      </c>
      <c r="E382" s="2">
        <v>45779</v>
      </c>
      <c r="F382" s="2" cm="1">
        <f t="array" ref="F382">_xlfn.IFS(B382="Owner Surrender",E382,B382="Stray",E382+6,B382="Stray w/identification",E382+11,B382="Bite",E382+10,B382="Other",Blank)</f>
        <v>45779</v>
      </c>
      <c r="G382" s="2">
        <v>45832</v>
      </c>
      <c r="H382" s="5">
        <f t="shared" si="20"/>
        <v>53</v>
      </c>
      <c r="I382" s="5">
        <f t="shared" si="21"/>
        <v>53</v>
      </c>
      <c r="J382" s="2" t="s">
        <v>31</v>
      </c>
      <c r="K382" s="2" t="s">
        <v>587</v>
      </c>
      <c r="AD382" s="33" t="str">
        <f t="shared" si="19"/>
        <v>Tuesday</v>
      </c>
    </row>
    <row r="383" spans="1:30" x14ac:dyDescent="0.2">
      <c r="A383" s="3">
        <v>40287</v>
      </c>
      <c r="B383" s="2" t="s">
        <v>36</v>
      </c>
      <c r="C383" t="s">
        <v>7</v>
      </c>
      <c r="D383" t="s">
        <v>208</v>
      </c>
      <c r="E383" s="2">
        <v>45779</v>
      </c>
      <c r="F383" s="2" cm="1">
        <f t="array" ref="F383">_xlfn.IFS(B383="Owner Surrender",E383,B383="Stray",E383+6,B383="Stray w/identification",E383+11,B383="Bite",E383+10,B383="Other",Blank)</f>
        <v>45779</v>
      </c>
      <c r="G383" s="2">
        <v>45828</v>
      </c>
      <c r="H383" s="5">
        <f t="shared" si="20"/>
        <v>49</v>
      </c>
      <c r="I383" s="5">
        <f t="shared" si="21"/>
        <v>49</v>
      </c>
      <c r="J383" s="2" t="s">
        <v>31</v>
      </c>
      <c r="K383" s="2" t="s">
        <v>587</v>
      </c>
      <c r="AD383" s="33" t="str">
        <f t="shared" si="19"/>
        <v>Friday</v>
      </c>
    </row>
    <row r="384" spans="1:30" x14ac:dyDescent="0.2">
      <c r="A384" s="3">
        <v>40288</v>
      </c>
      <c r="B384" s="2" t="s">
        <v>36</v>
      </c>
      <c r="C384" t="s">
        <v>7</v>
      </c>
      <c r="D384" t="s">
        <v>208</v>
      </c>
      <c r="E384" s="2">
        <v>45779</v>
      </c>
      <c r="F384" s="2" cm="1">
        <f t="array" ref="F384">_xlfn.IFS(B384="Owner Surrender",E384,B384="Stray",E384+6,B384="Stray w/identification",E384+11,B384="Bite",E384+10,B384="Other",Blank)</f>
        <v>45779</v>
      </c>
      <c r="G384" s="2">
        <v>45832</v>
      </c>
      <c r="H384" s="5">
        <f t="shared" si="20"/>
        <v>53</v>
      </c>
      <c r="I384" s="5">
        <f t="shared" si="21"/>
        <v>53</v>
      </c>
      <c r="J384" s="2" t="s">
        <v>31</v>
      </c>
      <c r="K384" s="2" t="s">
        <v>587</v>
      </c>
      <c r="AD384" s="33" t="str">
        <f t="shared" si="19"/>
        <v>Tuesday</v>
      </c>
    </row>
    <row r="385" spans="1:30" x14ac:dyDescent="0.2">
      <c r="A385" s="3">
        <v>40289</v>
      </c>
      <c r="B385" s="2" t="s">
        <v>38</v>
      </c>
      <c r="C385" t="s">
        <v>7</v>
      </c>
      <c r="D385" t="s">
        <v>207</v>
      </c>
      <c r="E385" s="2">
        <v>45780</v>
      </c>
      <c r="F385" s="2" cm="1">
        <f t="array" ref="F385">_xlfn.IFS(B385="Owner Surrender",E385,B385="Stray",E385+6,B385="Stray w/identification",E385+11,B385="Bite",E385+10,B385="Other",Blank)</f>
        <v>45786</v>
      </c>
      <c r="G385" s="2">
        <v>45791</v>
      </c>
      <c r="H385" s="5">
        <f t="shared" si="20"/>
        <v>11</v>
      </c>
      <c r="I385" s="5">
        <f t="shared" si="21"/>
        <v>5</v>
      </c>
      <c r="J385" s="2" t="s">
        <v>18</v>
      </c>
      <c r="K385" s="2" t="s">
        <v>586</v>
      </c>
      <c r="AD385" s="33" t="str">
        <f t="shared" si="19"/>
        <v>Wednesday</v>
      </c>
    </row>
    <row r="386" spans="1:30" x14ac:dyDescent="0.2">
      <c r="A386" s="3">
        <v>40290</v>
      </c>
      <c r="B386" s="2" t="s">
        <v>38</v>
      </c>
      <c r="C386" t="s">
        <v>7</v>
      </c>
      <c r="D386" t="s">
        <v>208</v>
      </c>
      <c r="E386" s="2">
        <v>45780</v>
      </c>
      <c r="F386" s="2" cm="1">
        <f t="array" ref="F386">_xlfn.IFS(B386="Owner Surrender",E386,B386="Stray",E386+6,B386="Stray w/identification",E386+11,B386="Bite",E386+10,B386="Other",Blank)</f>
        <v>45786</v>
      </c>
      <c r="G386" s="2">
        <v>45791</v>
      </c>
      <c r="H386" s="5">
        <f t="shared" si="20"/>
        <v>11</v>
      </c>
      <c r="I386" s="5">
        <f t="shared" si="21"/>
        <v>5</v>
      </c>
      <c r="J386" s="2" t="s">
        <v>18</v>
      </c>
      <c r="K386" s="2" t="s">
        <v>586</v>
      </c>
      <c r="AD386" s="33" t="str">
        <f t="shared" si="19"/>
        <v>Wednesday</v>
      </c>
    </row>
    <row r="387" spans="1:30" x14ac:dyDescent="0.2">
      <c r="A387" s="3">
        <v>40291</v>
      </c>
      <c r="B387" s="2" t="s">
        <v>36</v>
      </c>
      <c r="C387" t="s">
        <v>15</v>
      </c>
      <c r="D387" t="s">
        <v>207</v>
      </c>
      <c r="E387" s="2">
        <v>45780</v>
      </c>
      <c r="F387" s="2" cm="1">
        <f t="array" ref="F387">_xlfn.IFS(B387="Owner Surrender",E387,B387="Stray",E387+6,B387="Stray w/identification",E387+11,B387="Bite",E387+10,B387="Other",Blank)</f>
        <v>45780</v>
      </c>
      <c r="G387" s="2">
        <v>45853</v>
      </c>
      <c r="H387" s="5">
        <f t="shared" si="20"/>
        <v>73</v>
      </c>
      <c r="I387" s="5">
        <f t="shared" si="21"/>
        <v>73</v>
      </c>
      <c r="J387" s="2" t="s">
        <v>11</v>
      </c>
      <c r="K387" s="2" t="s">
        <v>586</v>
      </c>
      <c r="L387" t="s">
        <v>16</v>
      </c>
      <c r="AD387" s="33" t="str">
        <f t="shared" si="19"/>
        <v>Tuesday</v>
      </c>
    </row>
    <row r="388" spans="1:30" x14ac:dyDescent="0.2">
      <c r="A388" s="3">
        <v>40292</v>
      </c>
      <c r="B388" s="2" t="s">
        <v>38</v>
      </c>
      <c r="C388" t="s">
        <v>7</v>
      </c>
      <c r="D388" t="s">
        <v>207</v>
      </c>
      <c r="E388" s="2">
        <v>45780</v>
      </c>
      <c r="F388" s="2" cm="1">
        <f t="array" ref="F388">_xlfn.IFS(B388="Owner Surrender",E388,B388="Stray",E388+6,B388="Stray w/identification",E388+11,B388="Bite",E388+10,B388="Other",Blank)</f>
        <v>45786</v>
      </c>
      <c r="G388" s="2">
        <v>45786</v>
      </c>
      <c r="H388" s="5">
        <f t="shared" si="20"/>
        <v>6</v>
      </c>
      <c r="I388" s="5">
        <f t="shared" si="21"/>
        <v>0</v>
      </c>
      <c r="J388" s="2" t="s">
        <v>31</v>
      </c>
      <c r="K388" s="2" t="s">
        <v>587</v>
      </c>
      <c r="AD388" s="33" t="str">
        <f t="shared" ref="AD388:AD451" si="22">TEXT(G388,"DDDD")</f>
        <v>Friday</v>
      </c>
    </row>
    <row r="389" spans="1:30" x14ac:dyDescent="0.2">
      <c r="A389" s="3">
        <v>40293</v>
      </c>
      <c r="B389" s="2" t="s">
        <v>38</v>
      </c>
      <c r="C389" t="s">
        <v>7</v>
      </c>
      <c r="D389" t="s">
        <v>208</v>
      </c>
      <c r="E389" s="2">
        <v>45780</v>
      </c>
      <c r="F389" s="2" cm="1">
        <f t="array" ref="F389">_xlfn.IFS(B389="Owner Surrender",E389,B389="Stray",E389+6,B389="Stray w/identification",E389+11,B389="Bite",E389+10,B389="Other",Blank)</f>
        <v>45786</v>
      </c>
      <c r="G389" s="2">
        <v>45786</v>
      </c>
      <c r="H389" s="5">
        <f t="shared" si="20"/>
        <v>6</v>
      </c>
      <c r="I389" s="5">
        <f t="shared" si="21"/>
        <v>0</v>
      </c>
      <c r="J389" s="2" t="s">
        <v>31</v>
      </c>
      <c r="K389" s="2" t="s">
        <v>587</v>
      </c>
      <c r="AD389" s="33" t="str">
        <f t="shared" si="22"/>
        <v>Friday</v>
      </c>
    </row>
    <row r="390" spans="1:30" x14ac:dyDescent="0.2">
      <c r="A390" s="3">
        <v>40294</v>
      </c>
      <c r="B390" s="2" t="s">
        <v>38</v>
      </c>
      <c r="C390" t="s">
        <v>7</v>
      </c>
      <c r="D390" t="s">
        <v>208</v>
      </c>
      <c r="E390" s="2">
        <v>45780</v>
      </c>
      <c r="F390" s="2" cm="1">
        <f t="array" ref="F390">_xlfn.IFS(B390="Owner Surrender",E390,B390="Stray",E390+6,B390="Stray w/identification",E390+11,B390="Bite",E390+10,B390="Other",Blank)</f>
        <v>45786</v>
      </c>
      <c r="G390" s="2">
        <v>45786</v>
      </c>
      <c r="H390" s="5">
        <f t="shared" si="20"/>
        <v>6</v>
      </c>
      <c r="I390" s="5">
        <f t="shared" si="21"/>
        <v>0</v>
      </c>
      <c r="J390" s="2" t="s">
        <v>31</v>
      </c>
      <c r="K390" s="2" t="s">
        <v>587</v>
      </c>
      <c r="AD390" s="33" t="str">
        <f t="shared" si="22"/>
        <v>Friday</v>
      </c>
    </row>
    <row r="391" spans="1:30" x14ac:dyDescent="0.2">
      <c r="A391" s="3">
        <v>40295</v>
      </c>
      <c r="B391" s="2" t="s">
        <v>38</v>
      </c>
      <c r="C391" t="s">
        <v>7</v>
      </c>
      <c r="D391" t="s">
        <v>208</v>
      </c>
      <c r="E391" s="2">
        <v>45780</v>
      </c>
      <c r="F391" s="2" cm="1">
        <f t="array" ref="F391">_xlfn.IFS(B391="Owner Surrender",E391,B391="Stray",E391+6,B391="Stray w/identification",E391+11,B391="Bite",E391+10,B391="Other",Blank)</f>
        <v>45786</v>
      </c>
      <c r="G391" s="2">
        <v>45786</v>
      </c>
      <c r="H391" s="5">
        <f t="shared" si="20"/>
        <v>6</v>
      </c>
      <c r="I391" s="5">
        <f t="shared" si="21"/>
        <v>0</v>
      </c>
      <c r="J391" s="2" t="s">
        <v>31</v>
      </c>
      <c r="K391" s="2" t="s">
        <v>587</v>
      </c>
      <c r="AD391" s="33" t="str">
        <f t="shared" si="22"/>
        <v>Friday</v>
      </c>
    </row>
    <row r="392" spans="1:30" x14ac:dyDescent="0.2">
      <c r="A392" s="3">
        <v>40296</v>
      </c>
      <c r="B392" s="2" t="s">
        <v>38</v>
      </c>
      <c r="C392" t="s">
        <v>7</v>
      </c>
      <c r="D392" t="s">
        <v>208</v>
      </c>
      <c r="E392" s="2">
        <v>45780</v>
      </c>
      <c r="F392" s="2" cm="1">
        <f t="array" ref="F392">_xlfn.IFS(B392="Owner Surrender",E392,B392="Stray",E392+6,B392="Stray w/identification",E392+11,B392="Bite",E392+10,B392="Other",Blank)</f>
        <v>45786</v>
      </c>
      <c r="H392" s="5">
        <f t="shared" si="20"/>
        <v>-45780</v>
      </c>
      <c r="I392" s="5">
        <f t="shared" si="21"/>
        <v>-45786</v>
      </c>
      <c r="J392" s="2" t="s">
        <v>21</v>
      </c>
      <c r="K392" s="2" t="s">
        <v>586</v>
      </c>
      <c r="AD392" s="33" t="str">
        <f t="shared" si="22"/>
        <v>Saturday</v>
      </c>
    </row>
    <row r="393" spans="1:30" x14ac:dyDescent="0.2">
      <c r="A393" s="3">
        <v>40297</v>
      </c>
      <c r="B393" s="2" t="s">
        <v>38</v>
      </c>
      <c r="C393" t="s">
        <v>7</v>
      </c>
      <c r="D393" t="s">
        <v>207</v>
      </c>
      <c r="E393" s="2">
        <v>45780</v>
      </c>
      <c r="F393" s="2" cm="1">
        <f t="array" ref="F393">_xlfn.IFS(B393="Owner Surrender",E393,B393="Stray",E393+6,B393="Stray w/identification",E393+11,B393="Bite",E393+10,B393="Other",Blank)</f>
        <v>45786</v>
      </c>
      <c r="G393" s="2">
        <v>45786</v>
      </c>
      <c r="H393" s="5">
        <f t="shared" si="20"/>
        <v>6</v>
      </c>
      <c r="I393" s="5">
        <f t="shared" si="21"/>
        <v>0</v>
      </c>
      <c r="J393" s="2" t="s">
        <v>31</v>
      </c>
      <c r="K393" s="2" t="s">
        <v>587</v>
      </c>
      <c r="AD393" s="33" t="str">
        <f t="shared" si="22"/>
        <v>Friday</v>
      </c>
    </row>
    <row r="394" spans="1:30" x14ac:dyDescent="0.2">
      <c r="A394" s="3">
        <v>40301</v>
      </c>
      <c r="B394" s="2" t="s">
        <v>36</v>
      </c>
      <c r="C394" t="s">
        <v>15</v>
      </c>
      <c r="D394" t="s">
        <v>207</v>
      </c>
      <c r="E394" s="2">
        <v>45780</v>
      </c>
      <c r="F394" s="2" cm="1">
        <f t="array" ref="F394">_xlfn.IFS(B394="Owner Surrender",E394,B394="Stray",E394+6,B394="Stray w/identification",E394+11,B394="Bite",E394+10,B394="Other",Blank)</f>
        <v>45780</v>
      </c>
      <c r="G394" s="2">
        <v>45786</v>
      </c>
      <c r="H394" s="5">
        <f t="shared" si="20"/>
        <v>6</v>
      </c>
      <c r="I394" s="5">
        <f t="shared" si="21"/>
        <v>6</v>
      </c>
      <c r="J394" s="2" t="s">
        <v>31</v>
      </c>
      <c r="K394" s="2" t="s">
        <v>587</v>
      </c>
      <c r="L394" t="s">
        <v>378</v>
      </c>
      <c r="AD394" s="33" t="str">
        <f t="shared" si="22"/>
        <v>Friday</v>
      </c>
    </row>
    <row r="395" spans="1:30" x14ac:dyDescent="0.2">
      <c r="A395" s="3">
        <v>40302</v>
      </c>
      <c r="B395" s="2" t="s">
        <v>38</v>
      </c>
      <c r="C395" t="s">
        <v>7</v>
      </c>
      <c r="D395" t="s">
        <v>207</v>
      </c>
      <c r="E395" s="2">
        <v>45780</v>
      </c>
      <c r="F395" s="2" cm="1">
        <f t="array" ref="F395">_xlfn.IFS(B395="Owner Surrender",E395,B395="Stray",E395+6,B395="Stray w/identification",E395+11,B395="Bite",E395+10,B395="Other",Blank)</f>
        <v>45786</v>
      </c>
      <c r="G395" s="2">
        <v>45786</v>
      </c>
      <c r="H395" s="5">
        <f t="shared" si="20"/>
        <v>6</v>
      </c>
      <c r="I395" s="5">
        <f t="shared" si="21"/>
        <v>0</v>
      </c>
      <c r="J395" s="2" t="s">
        <v>31</v>
      </c>
      <c r="K395" s="2" t="s">
        <v>24</v>
      </c>
      <c r="M395" t="s">
        <v>379</v>
      </c>
      <c r="AD395" s="33" t="str">
        <f t="shared" si="22"/>
        <v>Friday</v>
      </c>
    </row>
    <row r="396" spans="1:30" x14ac:dyDescent="0.2">
      <c r="A396" s="3">
        <v>40303</v>
      </c>
      <c r="B396" s="2" t="s">
        <v>36</v>
      </c>
      <c r="C396" t="s">
        <v>7</v>
      </c>
      <c r="D396" t="s">
        <v>207</v>
      </c>
      <c r="E396" s="2">
        <v>45780</v>
      </c>
      <c r="F396" s="2" cm="1">
        <f t="array" ref="F396">_xlfn.IFS(B396="Owner Surrender",E396,B396="Stray",E396+6,B396="Stray w/identification",E396+11,B396="Bite",E396+10,B396="Other",Blank)</f>
        <v>45780</v>
      </c>
      <c r="G396" s="2">
        <v>45800</v>
      </c>
      <c r="H396" s="5">
        <f t="shared" si="20"/>
        <v>20</v>
      </c>
      <c r="I396" s="5">
        <f t="shared" si="21"/>
        <v>20</v>
      </c>
      <c r="J396" s="2" t="s">
        <v>31</v>
      </c>
      <c r="K396" s="2" t="s">
        <v>587</v>
      </c>
      <c r="L396" t="s">
        <v>316</v>
      </c>
      <c r="AD396" s="33" t="str">
        <f t="shared" si="22"/>
        <v>Friday</v>
      </c>
    </row>
    <row r="397" spans="1:30" x14ac:dyDescent="0.2">
      <c r="A397" s="3">
        <v>40304</v>
      </c>
      <c r="B397" s="2" t="s">
        <v>38</v>
      </c>
      <c r="C397" t="s">
        <v>7</v>
      </c>
      <c r="D397" t="s">
        <v>208</v>
      </c>
      <c r="E397" s="2">
        <v>45780</v>
      </c>
      <c r="F397" s="2" cm="1">
        <f t="array" ref="F397">_xlfn.IFS(B397="Owner Surrender",E397,B397="Stray",E397+6,B397="Stray w/identification",E397+11,B397="Bite",E397+10,B397="Other",Blank)</f>
        <v>45786</v>
      </c>
      <c r="G397" s="2">
        <v>45791</v>
      </c>
      <c r="H397" s="5">
        <f t="shared" si="20"/>
        <v>11</v>
      </c>
      <c r="I397" s="5">
        <f t="shared" si="21"/>
        <v>5</v>
      </c>
      <c r="J397" s="2" t="s">
        <v>18</v>
      </c>
      <c r="K397" s="2" t="s">
        <v>586</v>
      </c>
      <c r="AD397" s="33" t="str">
        <f t="shared" si="22"/>
        <v>Wednesday</v>
      </c>
    </row>
    <row r="398" spans="1:30" x14ac:dyDescent="0.2">
      <c r="A398" s="3">
        <v>40305</v>
      </c>
      <c r="B398" s="2" t="s">
        <v>38</v>
      </c>
      <c r="C398" t="s">
        <v>7</v>
      </c>
      <c r="D398" t="s">
        <v>208</v>
      </c>
      <c r="E398" s="2">
        <v>45780</v>
      </c>
      <c r="F398" s="2" cm="1">
        <f t="array" ref="F398">_xlfn.IFS(B398="Owner Surrender",E398,B398="Stray",E398+6,B398="Stray w/identification",E398+11,B398="Bite",E398+10,B398="Other",Blank)</f>
        <v>45786</v>
      </c>
      <c r="G398" s="2">
        <v>45791</v>
      </c>
      <c r="H398" s="5">
        <f t="shared" si="20"/>
        <v>11</v>
      </c>
      <c r="I398" s="5">
        <f t="shared" si="21"/>
        <v>5</v>
      </c>
      <c r="J398" s="2" t="s">
        <v>18</v>
      </c>
      <c r="K398" s="2" t="s">
        <v>586</v>
      </c>
      <c r="AD398" s="33" t="str">
        <f t="shared" si="22"/>
        <v>Wednesday</v>
      </c>
    </row>
    <row r="399" spans="1:30" x14ac:dyDescent="0.2">
      <c r="A399" s="3">
        <v>40307</v>
      </c>
      <c r="B399" s="2" t="s">
        <v>38</v>
      </c>
      <c r="C399" t="s">
        <v>10</v>
      </c>
      <c r="D399" t="s">
        <v>207</v>
      </c>
      <c r="E399" s="2">
        <v>45781</v>
      </c>
      <c r="F399" s="2" cm="1">
        <f t="array" ref="F399">_xlfn.IFS(B399="Owner Surrender",E399,B399="Stray",E399+6,B399="Stray w/identification",E399+11,B399="Bite",E399+10,B399="Other",Blank)</f>
        <v>45787</v>
      </c>
      <c r="G399" s="2">
        <v>45791</v>
      </c>
      <c r="H399" s="5">
        <f t="shared" si="20"/>
        <v>10</v>
      </c>
      <c r="I399" s="5">
        <f t="shared" si="21"/>
        <v>4</v>
      </c>
      <c r="J399" s="2" t="s">
        <v>18</v>
      </c>
      <c r="K399" s="2" t="s">
        <v>586</v>
      </c>
      <c r="L399" t="s">
        <v>378</v>
      </c>
      <c r="AD399" s="33" t="str">
        <f t="shared" si="22"/>
        <v>Wednesday</v>
      </c>
    </row>
    <row r="400" spans="1:30" x14ac:dyDescent="0.2">
      <c r="A400" s="3">
        <v>40308</v>
      </c>
      <c r="B400" s="2" t="s">
        <v>38</v>
      </c>
      <c r="C400" t="s">
        <v>7</v>
      </c>
      <c r="D400" t="s">
        <v>209</v>
      </c>
      <c r="E400" s="2">
        <v>45781</v>
      </c>
      <c r="F400" s="2" cm="1">
        <f t="array" ref="F400">_xlfn.IFS(B400="Owner Surrender",E400,B400="Stray",E400+6,B400="Stray w/identification",E400+11,B400="Bite",E400+10,B400="Other",Blank)</f>
        <v>45787</v>
      </c>
      <c r="G400" s="2">
        <v>45791</v>
      </c>
      <c r="H400" s="5">
        <f t="shared" si="20"/>
        <v>10</v>
      </c>
      <c r="I400" s="5">
        <f t="shared" si="21"/>
        <v>4</v>
      </c>
      <c r="J400" s="2" t="s">
        <v>18</v>
      </c>
      <c r="K400" s="2" t="s">
        <v>586</v>
      </c>
      <c r="L400" t="s">
        <v>85</v>
      </c>
      <c r="AD400" s="33" t="str">
        <f t="shared" si="22"/>
        <v>Wednesday</v>
      </c>
    </row>
    <row r="401" spans="1:30" x14ac:dyDescent="0.2">
      <c r="A401" s="3">
        <v>40311</v>
      </c>
      <c r="B401" s="2" t="s">
        <v>36</v>
      </c>
      <c r="C401" t="s">
        <v>10</v>
      </c>
      <c r="D401" t="s">
        <v>207</v>
      </c>
      <c r="E401" s="2">
        <v>45782</v>
      </c>
      <c r="F401" s="2" cm="1">
        <f t="array" ref="F401">_xlfn.IFS(B401="Owner Surrender",E401,B401="Stray",E401+6,B401="Stray w/identification",E401+11,B401="Bite",E401+10,B401="Other",Blank)</f>
        <v>45782</v>
      </c>
      <c r="G401" s="2">
        <v>45786</v>
      </c>
      <c r="H401" s="5">
        <f t="shared" si="20"/>
        <v>4</v>
      </c>
      <c r="I401" s="5">
        <f t="shared" si="21"/>
        <v>4</v>
      </c>
      <c r="J401" s="2" t="s">
        <v>31</v>
      </c>
      <c r="K401" s="2" t="s">
        <v>587</v>
      </c>
      <c r="AD401" s="33" t="str">
        <f t="shared" si="22"/>
        <v>Friday</v>
      </c>
    </row>
    <row r="402" spans="1:30" x14ac:dyDescent="0.2">
      <c r="A402" s="3">
        <v>40312</v>
      </c>
      <c r="B402" s="2" t="s">
        <v>36</v>
      </c>
      <c r="C402" t="s">
        <v>10</v>
      </c>
      <c r="D402" t="s">
        <v>207</v>
      </c>
      <c r="E402" s="2">
        <v>45782</v>
      </c>
      <c r="F402" s="2" cm="1">
        <f t="array" ref="F402">_xlfn.IFS(B402="Owner Surrender",E402,B402="Stray",E402+6,B402="Stray w/identification",E402+11,B402="Bite",E402+10,B402="Other",Blank)</f>
        <v>45782</v>
      </c>
      <c r="G402" s="2">
        <v>45791</v>
      </c>
      <c r="H402" s="5">
        <f t="shared" si="20"/>
        <v>9</v>
      </c>
      <c r="I402" s="5">
        <f t="shared" si="21"/>
        <v>9</v>
      </c>
      <c r="J402" s="2" t="s">
        <v>18</v>
      </c>
      <c r="K402" s="2" t="s">
        <v>586</v>
      </c>
      <c r="AD402" s="33" t="str">
        <f t="shared" si="22"/>
        <v>Wednesday</v>
      </c>
    </row>
    <row r="403" spans="1:30" x14ac:dyDescent="0.2">
      <c r="A403" s="3">
        <v>40313</v>
      </c>
      <c r="B403" s="2" t="s">
        <v>36</v>
      </c>
      <c r="C403" t="s">
        <v>10</v>
      </c>
      <c r="D403" t="s">
        <v>207</v>
      </c>
      <c r="E403" s="2">
        <v>45782</v>
      </c>
      <c r="F403" s="2" cm="1">
        <f t="array" ref="F403">_xlfn.IFS(B403="Owner Surrender",E403,B403="Stray",E403+6,B403="Stray w/identification",E403+11,B403="Bite",E403+10,B403="Other",Blank)</f>
        <v>45782</v>
      </c>
      <c r="G403" s="2">
        <v>45784</v>
      </c>
      <c r="H403" s="5">
        <f t="shared" si="20"/>
        <v>2</v>
      </c>
      <c r="I403" s="5">
        <f t="shared" si="21"/>
        <v>2</v>
      </c>
      <c r="J403" s="2" t="s">
        <v>31</v>
      </c>
      <c r="K403" s="2" t="s">
        <v>587</v>
      </c>
      <c r="AD403" s="33" t="str">
        <f t="shared" si="22"/>
        <v>Wednesday</v>
      </c>
    </row>
    <row r="404" spans="1:30" x14ac:dyDescent="0.2">
      <c r="A404" s="3">
        <v>40314</v>
      </c>
      <c r="B404" s="2" t="s">
        <v>36</v>
      </c>
      <c r="C404" t="s">
        <v>7</v>
      </c>
      <c r="D404" t="s">
        <v>209</v>
      </c>
      <c r="E404" s="2">
        <v>45782</v>
      </c>
      <c r="F404" s="2" cm="1">
        <f t="array" ref="F404">_xlfn.IFS(B404="Owner Surrender",E404,B404="Stray",E404+6,B404="Stray w/identification",E404+11,B404="Bite",E404+10,B404="Other",Blank)</f>
        <v>45782</v>
      </c>
      <c r="G404" s="2">
        <v>45784</v>
      </c>
      <c r="H404" s="5">
        <f t="shared" si="20"/>
        <v>2</v>
      </c>
      <c r="I404" s="5">
        <f t="shared" si="21"/>
        <v>2</v>
      </c>
      <c r="J404" s="2" t="s">
        <v>31</v>
      </c>
      <c r="K404" s="2" t="s">
        <v>587</v>
      </c>
      <c r="AD404" s="33" t="str">
        <f t="shared" si="22"/>
        <v>Wednesday</v>
      </c>
    </row>
    <row r="405" spans="1:30" x14ac:dyDescent="0.2">
      <c r="A405" s="3">
        <v>40316</v>
      </c>
      <c r="B405" s="2" t="s">
        <v>38</v>
      </c>
      <c r="C405" t="s">
        <v>7</v>
      </c>
      <c r="D405" t="s">
        <v>208</v>
      </c>
      <c r="E405" s="2">
        <v>45782</v>
      </c>
      <c r="F405" s="2" cm="1">
        <f t="array" ref="F405">_xlfn.IFS(B405="Owner Surrender",E405,B405="Stray",E405+6,B405="Stray w/identification",E405+11,B405="Bite",E405+10,B405="Other",Blank)</f>
        <v>45788</v>
      </c>
      <c r="H405" s="5">
        <f t="shared" si="20"/>
        <v>-45782</v>
      </c>
      <c r="I405" s="5">
        <f t="shared" si="21"/>
        <v>-45788</v>
      </c>
      <c r="J405" s="15" t="s">
        <v>21</v>
      </c>
      <c r="K405" s="2" t="s">
        <v>586</v>
      </c>
      <c r="AD405" s="33" t="str">
        <f t="shared" si="22"/>
        <v>Saturday</v>
      </c>
    </row>
    <row r="406" spans="1:30" x14ac:dyDescent="0.2">
      <c r="A406" s="3">
        <v>40317</v>
      </c>
      <c r="B406" s="2" t="s">
        <v>36</v>
      </c>
      <c r="C406" t="s">
        <v>7</v>
      </c>
      <c r="D406" t="s">
        <v>207</v>
      </c>
      <c r="E406" s="2">
        <v>45782</v>
      </c>
      <c r="F406" s="2" cm="1">
        <f t="array" ref="F406">_xlfn.IFS(B406="Owner Surrender",E406,B406="Stray",E406+6,B406="Stray w/identification",E406+11,B406="Bite",E406+10,B406="Other",Blank)</f>
        <v>45782</v>
      </c>
      <c r="G406" s="2">
        <v>45786</v>
      </c>
      <c r="H406" s="5">
        <f t="shared" si="20"/>
        <v>4</v>
      </c>
      <c r="I406" s="5">
        <f t="shared" si="21"/>
        <v>4</v>
      </c>
      <c r="J406" s="2" t="s">
        <v>31</v>
      </c>
      <c r="K406" s="2" t="s">
        <v>587</v>
      </c>
      <c r="AD406" s="33" t="str">
        <f t="shared" si="22"/>
        <v>Friday</v>
      </c>
    </row>
    <row r="407" spans="1:30" x14ac:dyDescent="0.2">
      <c r="A407" s="3">
        <v>40318</v>
      </c>
      <c r="B407" s="2" t="s">
        <v>38</v>
      </c>
      <c r="C407" t="s">
        <v>7</v>
      </c>
      <c r="D407" t="s">
        <v>207</v>
      </c>
      <c r="E407" s="2">
        <v>45782</v>
      </c>
      <c r="F407" s="2" cm="1">
        <f t="array" ref="F407">_xlfn.IFS(B407="Owner Surrender",E407,B407="Stray",E407+6,B407="Stray w/identification",E407+11,B407="Bite",E407+10,B407="Other",Blank)</f>
        <v>45788</v>
      </c>
      <c r="G407" s="2">
        <v>45791</v>
      </c>
      <c r="H407" s="5">
        <f t="shared" si="20"/>
        <v>9</v>
      </c>
      <c r="I407" s="5">
        <f t="shared" si="21"/>
        <v>3</v>
      </c>
      <c r="J407" s="2" t="s">
        <v>18</v>
      </c>
      <c r="K407" s="2" t="s">
        <v>586</v>
      </c>
      <c r="M407" t="s">
        <v>24</v>
      </c>
      <c r="AD407" s="33" t="str">
        <f t="shared" si="22"/>
        <v>Wednesday</v>
      </c>
    </row>
    <row r="408" spans="1:30" x14ac:dyDescent="0.2">
      <c r="A408" s="3">
        <v>40319</v>
      </c>
      <c r="B408" s="2" t="s">
        <v>36</v>
      </c>
      <c r="C408" t="s">
        <v>15</v>
      </c>
      <c r="D408" t="s">
        <v>208</v>
      </c>
      <c r="E408" s="2">
        <v>45783</v>
      </c>
      <c r="F408" s="2" cm="1">
        <f t="array" ref="F408">_xlfn.IFS(B408="Owner Surrender",E408,B408="Stray",E408+6,B408="Stray w/identification",E408+11,B408="Bite",E408+10,B408="Other",Blank)</f>
        <v>45783</v>
      </c>
      <c r="G408" s="2">
        <v>45786</v>
      </c>
      <c r="H408" s="5">
        <f t="shared" si="20"/>
        <v>3</v>
      </c>
      <c r="I408" s="5">
        <f t="shared" si="21"/>
        <v>3</v>
      </c>
      <c r="J408" s="2" t="s">
        <v>31</v>
      </c>
      <c r="K408" s="2" t="s">
        <v>587</v>
      </c>
      <c r="AD408" s="33" t="str">
        <f t="shared" si="22"/>
        <v>Friday</v>
      </c>
    </row>
    <row r="409" spans="1:30" x14ac:dyDescent="0.2">
      <c r="A409" s="3">
        <v>40320</v>
      </c>
      <c r="B409" s="2" t="s">
        <v>36</v>
      </c>
      <c r="C409" t="s">
        <v>15</v>
      </c>
      <c r="D409" t="s">
        <v>207</v>
      </c>
      <c r="E409" s="2">
        <v>45783</v>
      </c>
      <c r="F409" s="2" cm="1">
        <f t="array" ref="F409">_xlfn.IFS(B409="Owner Surrender",E409,B409="Stray",E409+6,B409="Stray w/identification",E409+11,B409="Bite",E409+10,B409="Other",Blank)</f>
        <v>45783</v>
      </c>
      <c r="G409" s="2">
        <v>45786</v>
      </c>
      <c r="H409" s="5">
        <f t="shared" si="20"/>
        <v>3</v>
      </c>
      <c r="I409" s="5">
        <f t="shared" si="21"/>
        <v>3</v>
      </c>
      <c r="J409" s="2" t="s">
        <v>31</v>
      </c>
      <c r="K409" s="2" t="s">
        <v>587</v>
      </c>
      <c r="AD409" s="33" t="str">
        <f t="shared" si="22"/>
        <v>Friday</v>
      </c>
    </row>
    <row r="410" spans="1:30" x14ac:dyDescent="0.2">
      <c r="A410" s="3">
        <v>40321</v>
      </c>
      <c r="B410" s="2" t="s">
        <v>36</v>
      </c>
      <c r="C410" t="s">
        <v>7</v>
      </c>
      <c r="D410" t="s">
        <v>207</v>
      </c>
      <c r="E410" s="2">
        <v>45783</v>
      </c>
      <c r="F410" s="2" cm="1">
        <f t="array" ref="F410">_xlfn.IFS(B410="Owner Surrender",E410,B410="Stray",E410+6,B410="Stray w/identification",E410+11,B410="Bite",E410+10,B410="Other",Blank)</f>
        <v>45783</v>
      </c>
      <c r="G410" s="2">
        <v>45797</v>
      </c>
      <c r="H410" s="5">
        <f t="shared" si="20"/>
        <v>14</v>
      </c>
      <c r="I410" s="5">
        <f t="shared" si="21"/>
        <v>14</v>
      </c>
      <c r="J410" s="2" t="s">
        <v>18</v>
      </c>
      <c r="K410" s="2" t="s">
        <v>586</v>
      </c>
      <c r="AD410" s="33" t="str">
        <f t="shared" si="22"/>
        <v>Tuesday</v>
      </c>
    </row>
    <row r="411" spans="1:30" x14ac:dyDescent="0.2">
      <c r="A411" s="3">
        <v>40322</v>
      </c>
      <c r="B411" s="2" t="s">
        <v>36</v>
      </c>
      <c r="C411" t="s">
        <v>7</v>
      </c>
      <c r="D411" t="s">
        <v>208</v>
      </c>
      <c r="E411" s="2">
        <v>45783</v>
      </c>
      <c r="F411" s="2" cm="1">
        <f t="array" ref="F411">_xlfn.IFS(B411="Owner Surrender",E411,B411="Stray",E411+6,B411="Stray w/identification",E411+11,B411="Bite",E411+10,B411="Other",Blank)</f>
        <v>45783</v>
      </c>
      <c r="G411" s="2">
        <v>45797</v>
      </c>
      <c r="H411" s="5">
        <f t="shared" si="20"/>
        <v>14</v>
      </c>
      <c r="I411" s="5">
        <f t="shared" si="21"/>
        <v>14</v>
      </c>
      <c r="J411" s="2" t="s">
        <v>18</v>
      </c>
      <c r="K411" s="2" t="s">
        <v>586</v>
      </c>
      <c r="AD411" s="33" t="str">
        <f t="shared" si="22"/>
        <v>Tuesday</v>
      </c>
    </row>
    <row r="412" spans="1:30" x14ac:dyDescent="0.2">
      <c r="A412" s="3">
        <v>40323</v>
      </c>
      <c r="B412" s="2" t="s">
        <v>36</v>
      </c>
      <c r="C412" t="s">
        <v>7</v>
      </c>
      <c r="D412" t="s">
        <v>208</v>
      </c>
      <c r="E412" s="2">
        <v>45783</v>
      </c>
      <c r="F412" s="2" cm="1">
        <f t="array" ref="F412">_xlfn.IFS(B412="Owner Surrender",E412,B412="Stray",E412+6,B412="Stray w/identification",E412+11,B412="Bite",E412+10,B412="Other",Blank)</f>
        <v>45783</v>
      </c>
      <c r="G412" s="2">
        <v>45797</v>
      </c>
      <c r="H412" s="5">
        <f t="shared" si="20"/>
        <v>14</v>
      </c>
      <c r="I412" s="5">
        <f t="shared" si="21"/>
        <v>14</v>
      </c>
      <c r="J412" s="2" t="s">
        <v>18</v>
      </c>
      <c r="K412" s="2" t="s">
        <v>586</v>
      </c>
      <c r="AD412" s="33" t="str">
        <f t="shared" si="22"/>
        <v>Tuesday</v>
      </c>
    </row>
    <row r="413" spans="1:30" x14ac:dyDescent="0.2">
      <c r="A413" s="3">
        <v>40324</v>
      </c>
      <c r="B413" s="2" t="s">
        <v>36</v>
      </c>
      <c r="C413" t="s">
        <v>7</v>
      </c>
      <c r="D413" t="s">
        <v>208</v>
      </c>
      <c r="E413" s="2">
        <v>45783</v>
      </c>
      <c r="F413" s="2" cm="1">
        <f t="array" ref="F413">_xlfn.IFS(B413="Owner Surrender",E413,B413="Stray",E413+6,B413="Stray w/identification",E413+11,B413="Bite",E413+10,B413="Other",Blank)</f>
        <v>45783</v>
      </c>
      <c r="G413" s="2">
        <v>45797</v>
      </c>
      <c r="H413" s="5">
        <f t="shared" si="20"/>
        <v>14</v>
      </c>
      <c r="I413" s="5">
        <f t="shared" si="21"/>
        <v>14</v>
      </c>
      <c r="J413" s="2" t="s">
        <v>18</v>
      </c>
      <c r="K413" s="2" t="s">
        <v>586</v>
      </c>
      <c r="AD413" s="33" t="str">
        <f t="shared" si="22"/>
        <v>Tuesday</v>
      </c>
    </row>
    <row r="414" spans="1:30" x14ac:dyDescent="0.2">
      <c r="A414" s="3">
        <v>40325</v>
      </c>
      <c r="B414" s="2" t="s">
        <v>36</v>
      </c>
      <c r="C414" t="s">
        <v>7</v>
      </c>
      <c r="D414" t="s">
        <v>208</v>
      </c>
      <c r="E414" s="2">
        <v>45783</v>
      </c>
      <c r="F414" s="2" cm="1">
        <f t="array" ref="F414">_xlfn.IFS(B414="Owner Surrender",E414,B414="Stray",E414+6,B414="Stray w/identification",E414+11,B414="Bite",E414+10,B414="Other",Blank)</f>
        <v>45783</v>
      </c>
      <c r="G414" s="2">
        <v>45797</v>
      </c>
      <c r="H414" s="5">
        <f t="shared" si="20"/>
        <v>14</v>
      </c>
      <c r="I414" s="5">
        <f t="shared" si="21"/>
        <v>14</v>
      </c>
      <c r="J414" s="2" t="s">
        <v>18</v>
      </c>
      <c r="K414" s="2" t="s">
        <v>586</v>
      </c>
      <c r="AD414" s="33" t="str">
        <f t="shared" si="22"/>
        <v>Tuesday</v>
      </c>
    </row>
    <row r="415" spans="1:30" x14ac:dyDescent="0.2">
      <c r="A415" s="3">
        <v>40326</v>
      </c>
      <c r="B415" s="2" t="s">
        <v>36</v>
      </c>
      <c r="C415" t="s">
        <v>7</v>
      </c>
      <c r="D415" t="s">
        <v>208</v>
      </c>
      <c r="E415" s="2">
        <v>45783</v>
      </c>
      <c r="F415" s="2" cm="1">
        <f t="array" ref="F415">_xlfn.IFS(B415="Owner Surrender",E415,B415="Stray",E415+6,B415="Stray w/identification",E415+11,B415="Bite",E415+10,B415="Other",Blank)</f>
        <v>45783</v>
      </c>
      <c r="G415" s="2">
        <v>45797</v>
      </c>
      <c r="H415" s="5">
        <f t="shared" si="20"/>
        <v>14</v>
      </c>
      <c r="I415" s="5">
        <f t="shared" si="21"/>
        <v>14</v>
      </c>
      <c r="J415" s="2" t="s">
        <v>18</v>
      </c>
      <c r="K415" s="2" t="s">
        <v>586</v>
      </c>
      <c r="AD415" s="33" t="str">
        <f t="shared" si="22"/>
        <v>Tuesday</v>
      </c>
    </row>
    <row r="416" spans="1:30" x14ac:dyDescent="0.2">
      <c r="A416" s="3">
        <v>40327</v>
      </c>
      <c r="B416" s="2" t="s">
        <v>38</v>
      </c>
      <c r="C416" t="s">
        <v>7</v>
      </c>
      <c r="D416" t="s">
        <v>208</v>
      </c>
      <c r="E416" s="2">
        <v>45782</v>
      </c>
      <c r="F416" s="2" cm="1">
        <f t="array" ref="F416">_xlfn.IFS(B416="Owner Surrender",E416,B416="Stray",E416+6,B416="Stray w/identification",E416+11,B416="Bite",E416+10,B416="Other",Blank)</f>
        <v>45788</v>
      </c>
      <c r="G416" s="2">
        <v>45791</v>
      </c>
      <c r="H416" s="5">
        <f t="shared" si="20"/>
        <v>9</v>
      </c>
      <c r="I416" s="5">
        <f t="shared" si="21"/>
        <v>3</v>
      </c>
      <c r="J416" s="2" t="s">
        <v>18</v>
      </c>
      <c r="K416" s="2" t="s">
        <v>586</v>
      </c>
      <c r="AD416" s="33" t="str">
        <f t="shared" si="22"/>
        <v>Wednesday</v>
      </c>
    </row>
    <row r="417" spans="1:30" x14ac:dyDescent="0.2">
      <c r="A417" s="3">
        <v>40333</v>
      </c>
      <c r="B417" s="2" t="s">
        <v>36</v>
      </c>
      <c r="C417" t="s">
        <v>7</v>
      </c>
      <c r="D417" t="s">
        <v>207</v>
      </c>
      <c r="E417" s="2">
        <v>45783</v>
      </c>
      <c r="F417" s="2" cm="1">
        <f t="array" ref="F417">_xlfn.IFS(B417="Owner Surrender",E417,B417="Stray",E417+6,B417="Stray w/identification",E417+11,B417="Bite",E417+10,B417="Other",Blank)</f>
        <v>45783</v>
      </c>
      <c r="G417" s="2">
        <v>45786</v>
      </c>
      <c r="H417" s="5">
        <f t="shared" si="20"/>
        <v>3</v>
      </c>
      <c r="I417" s="5">
        <f t="shared" si="21"/>
        <v>3</v>
      </c>
      <c r="J417" s="2" t="s">
        <v>31</v>
      </c>
      <c r="K417" s="2" t="s">
        <v>587</v>
      </c>
      <c r="AD417" s="33" t="str">
        <f t="shared" si="22"/>
        <v>Friday</v>
      </c>
    </row>
    <row r="418" spans="1:30" x14ac:dyDescent="0.2">
      <c r="A418" s="3">
        <v>40337</v>
      </c>
      <c r="B418" s="2" t="s">
        <v>36</v>
      </c>
      <c r="C418" t="s">
        <v>7</v>
      </c>
      <c r="D418" t="s">
        <v>208</v>
      </c>
      <c r="E418" s="2">
        <v>45784</v>
      </c>
      <c r="F418" s="2" cm="1">
        <f t="array" ref="F418">_xlfn.IFS(B418="Owner Surrender",E418,B418="Stray",E418+6,B418="Stray w/identification",E418+11,B418="Bite",E418+10,B418="Other",Blank)</f>
        <v>45784</v>
      </c>
      <c r="G418" s="2">
        <v>45791</v>
      </c>
      <c r="H418" s="5">
        <f t="shared" si="20"/>
        <v>7</v>
      </c>
      <c r="I418" s="5">
        <f t="shared" si="21"/>
        <v>7</v>
      </c>
      <c r="J418" s="2" t="s">
        <v>18</v>
      </c>
      <c r="K418" s="2" t="s">
        <v>586</v>
      </c>
      <c r="AD418" s="33" t="str">
        <f t="shared" si="22"/>
        <v>Wednesday</v>
      </c>
    </row>
    <row r="419" spans="1:30" x14ac:dyDescent="0.2">
      <c r="A419" s="3">
        <v>40338</v>
      </c>
      <c r="B419" s="2" t="s">
        <v>36</v>
      </c>
      <c r="C419" t="s">
        <v>7</v>
      </c>
      <c r="D419" t="s">
        <v>208</v>
      </c>
      <c r="E419" s="2">
        <v>45784</v>
      </c>
      <c r="F419" s="2" cm="1">
        <f t="array" ref="F419">_xlfn.IFS(B419="Owner Surrender",E419,B419="Stray",E419+6,B419="Stray w/identification",E419+11,B419="Bite",E419+10,B419="Other",Blank)</f>
        <v>45784</v>
      </c>
      <c r="G419" s="2">
        <v>45791</v>
      </c>
      <c r="H419" s="5">
        <f t="shared" si="20"/>
        <v>7</v>
      </c>
      <c r="I419" s="5">
        <f t="shared" si="21"/>
        <v>7</v>
      </c>
      <c r="J419" s="2" t="s">
        <v>18</v>
      </c>
      <c r="K419" s="2" t="s">
        <v>586</v>
      </c>
      <c r="AD419" s="33" t="str">
        <f t="shared" si="22"/>
        <v>Wednesday</v>
      </c>
    </row>
    <row r="420" spans="1:30" x14ac:dyDescent="0.2">
      <c r="A420" s="3">
        <v>40339</v>
      </c>
      <c r="B420" s="2" t="s">
        <v>36</v>
      </c>
      <c r="C420" t="s">
        <v>7</v>
      </c>
      <c r="D420" t="s">
        <v>208</v>
      </c>
      <c r="E420" s="2">
        <v>45784</v>
      </c>
      <c r="F420" s="2" cm="1">
        <f t="array" ref="F420">_xlfn.IFS(B420="Owner Surrender",E420,B420="Stray",E420+6,B420="Stray w/identification",E420+11,B420="Bite",E420+10,B420="Other",Blank)</f>
        <v>45784</v>
      </c>
      <c r="G420" s="2">
        <v>45791</v>
      </c>
      <c r="H420" s="5">
        <f t="shared" si="20"/>
        <v>7</v>
      </c>
      <c r="I420" s="5">
        <f t="shared" si="21"/>
        <v>7</v>
      </c>
      <c r="J420" s="2" t="s">
        <v>18</v>
      </c>
      <c r="K420" s="2" t="s">
        <v>586</v>
      </c>
      <c r="AD420" s="33" t="str">
        <f t="shared" si="22"/>
        <v>Wednesday</v>
      </c>
    </row>
    <row r="421" spans="1:30" x14ac:dyDescent="0.2">
      <c r="A421" s="3">
        <v>40340</v>
      </c>
      <c r="B421" s="2" t="s">
        <v>36</v>
      </c>
      <c r="C421" t="s">
        <v>7</v>
      </c>
      <c r="D421" t="s">
        <v>208</v>
      </c>
      <c r="E421" s="2">
        <v>45784</v>
      </c>
      <c r="F421" s="2" cm="1">
        <f t="array" ref="F421">_xlfn.IFS(B421="Owner Surrender",E421,B421="Stray",E421+6,B421="Stray w/identification",E421+11,B421="Bite",E421+10,B421="Other",Blank)</f>
        <v>45784</v>
      </c>
      <c r="G421" s="2">
        <v>45791</v>
      </c>
      <c r="H421" s="5">
        <f t="shared" si="20"/>
        <v>7</v>
      </c>
      <c r="I421" s="5">
        <f t="shared" si="21"/>
        <v>7</v>
      </c>
      <c r="J421" s="2" t="s">
        <v>18</v>
      </c>
      <c r="K421" s="2" t="s">
        <v>586</v>
      </c>
      <c r="AD421" s="33" t="str">
        <f t="shared" si="22"/>
        <v>Wednesday</v>
      </c>
    </row>
    <row r="422" spans="1:30" x14ac:dyDescent="0.2">
      <c r="A422" s="3">
        <v>40341</v>
      </c>
      <c r="B422" s="2" t="s">
        <v>36</v>
      </c>
      <c r="C422" t="s">
        <v>7</v>
      </c>
      <c r="D422" t="s">
        <v>208</v>
      </c>
      <c r="E422" s="2">
        <v>45784</v>
      </c>
      <c r="F422" s="2" cm="1">
        <f t="array" ref="F422">_xlfn.IFS(B422="Owner Surrender",E422,B422="Stray",E422+6,B422="Stray w/identification",E422+11,B422="Bite",E422+10,B422="Other",Blank)</f>
        <v>45784</v>
      </c>
      <c r="G422" s="2">
        <v>45791</v>
      </c>
      <c r="H422" s="5">
        <f t="shared" si="20"/>
        <v>7</v>
      </c>
      <c r="I422" s="5">
        <f t="shared" si="21"/>
        <v>7</v>
      </c>
      <c r="J422" s="2" t="s">
        <v>18</v>
      </c>
      <c r="K422" s="2" t="s">
        <v>586</v>
      </c>
      <c r="AD422" s="33" t="str">
        <f t="shared" si="22"/>
        <v>Wednesday</v>
      </c>
    </row>
    <row r="423" spans="1:30" x14ac:dyDescent="0.2">
      <c r="A423" s="3">
        <v>40343</v>
      </c>
      <c r="B423" s="2" t="s">
        <v>38</v>
      </c>
      <c r="C423" t="s">
        <v>7</v>
      </c>
      <c r="D423" t="s">
        <v>208</v>
      </c>
      <c r="E423" s="2">
        <v>45784</v>
      </c>
      <c r="F423" s="2" cm="1">
        <f t="array" ref="F423">_xlfn.IFS(B423="Owner Surrender",E423,B423="Stray",E423+6,B423="Stray w/identification",E423+11,B423="Bite",E423+10,B423="Other",Blank)</f>
        <v>45790</v>
      </c>
      <c r="G423" s="2">
        <v>45791</v>
      </c>
      <c r="H423" s="5">
        <f t="shared" ref="H423:H486" si="23">+G423-E423</f>
        <v>7</v>
      </c>
      <c r="I423" s="5">
        <f t="shared" si="21"/>
        <v>1</v>
      </c>
      <c r="J423" s="2" t="s">
        <v>11</v>
      </c>
      <c r="K423" s="2" t="s">
        <v>586</v>
      </c>
      <c r="M423" t="s">
        <v>24</v>
      </c>
      <c r="AD423" s="33" t="str">
        <f t="shared" si="22"/>
        <v>Wednesday</v>
      </c>
    </row>
    <row r="424" spans="1:30" x14ac:dyDescent="0.2">
      <c r="A424" s="3">
        <v>40344</v>
      </c>
      <c r="B424" s="2" t="s">
        <v>36</v>
      </c>
      <c r="C424" t="s">
        <v>10</v>
      </c>
      <c r="D424" t="s">
        <v>207</v>
      </c>
      <c r="E424" s="2">
        <v>45784</v>
      </c>
      <c r="F424" s="2" cm="1">
        <f t="array" ref="F424">_xlfn.IFS(B424="Owner Surrender",E424,B424="Stray",E424+6,B424="Stray w/identification",E424+11,B424="Bite",E424+10,B424="Other",Blank)</f>
        <v>45784</v>
      </c>
      <c r="G424" s="2">
        <v>45791</v>
      </c>
      <c r="H424" s="5">
        <f t="shared" si="23"/>
        <v>7</v>
      </c>
      <c r="I424" s="5">
        <f t="shared" si="21"/>
        <v>7</v>
      </c>
      <c r="J424" s="2" t="s">
        <v>18</v>
      </c>
      <c r="K424" s="2" t="s">
        <v>586</v>
      </c>
      <c r="AD424" s="33" t="str">
        <f t="shared" si="22"/>
        <v>Wednesday</v>
      </c>
    </row>
    <row r="425" spans="1:30" x14ac:dyDescent="0.2">
      <c r="A425" s="3">
        <v>40345</v>
      </c>
      <c r="B425" s="2" t="s">
        <v>36</v>
      </c>
      <c r="C425" t="s">
        <v>7</v>
      </c>
      <c r="D425" t="s">
        <v>208</v>
      </c>
      <c r="E425" s="2">
        <v>45784</v>
      </c>
      <c r="F425" s="2" cm="1">
        <f t="array" ref="F425">_xlfn.IFS(B425="Owner Surrender",E425,B425="Stray",E425+6,B425="Stray w/identification",E425+11,B425="Bite",E425+10,B425="Other",Blank)</f>
        <v>45784</v>
      </c>
      <c r="G425" s="2">
        <v>45791</v>
      </c>
      <c r="H425" s="5">
        <f t="shared" si="23"/>
        <v>7</v>
      </c>
      <c r="I425" s="5">
        <f t="shared" ref="I425:I488" si="24">G425-F425</f>
        <v>7</v>
      </c>
      <c r="J425" s="2" t="s">
        <v>18</v>
      </c>
      <c r="K425" s="2" t="s">
        <v>586</v>
      </c>
      <c r="AD425" s="33" t="str">
        <f t="shared" si="22"/>
        <v>Wednesday</v>
      </c>
    </row>
    <row r="426" spans="1:30" x14ac:dyDescent="0.2">
      <c r="A426" s="3">
        <v>40346</v>
      </c>
      <c r="B426" s="2" t="s">
        <v>36</v>
      </c>
      <c r="C426" t="s">
        <v>7</v>
      </c>
      <c r="D426" t="s">
        <v>208</v>
      </c>
      <c r="E426" s="2">
        <v>45784</v>
      </c>
      <c r="F426" s="2" cm="1">
        <f t="array" ref="F426">_xlfn.IFS(B426="Owner Surrender",E426,B426="Stray",E426+6,B426="Stray w/identification",E426+11,B426="Bite",E426+10,B426="Other",Blank)</f>
        <v>45784</v>
      </c>
      <c r="G426" s="2">
        <v>45791</v>
      </c>
      <c r="H426" s="5">
        <f t="shared" si="23"/>
        <v>7</v>
      </c>
      <c r="I426" s="5">
        <f t="shared" si="24"/>
        <v>7</v>
      </c>
      <c r="J426" s="2" t="s">
        <v>18</v>
      </c>
      <c r="K426" s="2" t="s">
        <v>586</v>
      </c>
      <c r="AD426" s="33" t="str">
        <f t="shared" si="22"/>
        <v>Wednesday</v>
      </c>
    </row>
    <row r="427" spans="1:30" x14ac:dyDescent="0.2">
      <c r="A427" s="3">
        <v>40347</v>
      </c>
      <c r="B427" s="2" t="s">
        <v>36</v>
      </c>
      <c r="C427" t="s">
        <v>7</v>
      </c>
      <c r="D427" t="s">
        <v>208</v>
      </c>
      <c r="E427" s="2">
        <v>45784</v>
      </c>
      <c r="F427" s="2" cm="1">
        <f t="array" ref="F427">_xlfn.IFS(B427="Owner Surrender",E427,B427="Stray",E427+6,B427="Stray w/identification",E427+11,B427="Bite",E427+10,B427="Other",Blank)</f>
        <v>45784</v>
      </c>
      <c r="G427" s="2">
        <v>45791</v>
      </c>
      <c r="H427" s="5">
        <f t="shared" si="23"/>
        <v>7</v>
      </c>
      <c r="I427" s="5">
        <f t="shared" si="24"/>
        <v>7</v>
      </c>
      <c r="J427" s="2" t="s">
        <v>18</v>
      </c>
      <c r="K427" s="2" t="s">
        <v>586</v>
      </c>
      <c r="AD427" s="33" t="str">
        <f t="shared" si="22"/>
        <v>Wednesday</v>
      </c>
    </row>
    <row r="428" spans="1:30" x14ac:dyDescent="0.2">
      <c r="A428" s="3">
        <v>40348</v>
      </c>
      <c r="B428" s="2" t="s">
        <v>36</v>
      </c>
      <c r="C428" t="s">
        <v>7</v>
      </c>
      <c r="D428" t="s">
        <v>208</v>
      </c>
      <c r="E428" s="2">
        <v>45784</v>
      </c>
      <c r="F428" s="2" cm="1">
        <f t="array" ref="F428">_xlfn.IFS(B428="Owner Surrender",E428,B428="Stray",E428+6,B428="Stray w/identification",E428+11,B428="Bite",E428+10,B428="Other",Blank)</f>
        <v>45784</v>
      </c>
      <c r="G428" s="2">
        <v>45791</v>
      </c>
      <c r="H428" s="5">
        <f t="shared" si="23"/>
        <v>7</v>
      </c>
      <c r="I428" s="5">
        <f t="shared" si="24"/>
        <v>7</v>
      </c>
      <c r="J428" s="2" t="s">
        <v>18</v>
      </c>
      <c r="K428" s="2" t="s">
        <v>586</v>
      </c>
      <c r="AD428" s="33" t="str">
        <f t="shared" si="22"/>
        <v>Wednesday</v>
      </c>
    </row>
    <row r="429" spans="1:30" x14ac:dyDescent="0.2">
      <c r="A429" s="3">
        <v>40350</v>
      </c>
      <c r="B429" s="2" t="s">
        <v>36</v>
      </c>
      <c r="C429" t="s">
        <v>7</v>
      </c>
      <c r="D429" t="s">
        <v>207</v>
      </c>
      <c r="E429" s="2">
        <v>45784</v>
      </c>
      <c r="F429" s="2" cm="1">
        <f t="array" ref="F429">_xlfn.IFS(B429="Owner Surrender",E429,B429="Stray",E429+6,B429="Stray w/identification",E429+11,B429="Bite",E429+10,B429="Other",Blank)</f>
        <v>45784</v>
      </c>
      <c r="G429" s="2">
        <v>45786</v>
      </c>
      <c r="H429" s="5">
        <f t="shared" si="23"/>
        <v>2</v>
      </c>
      <c r="I429" s="5">
        <f t="shared" si="24"/>
        <v>2</v>
      </c>
      <c r="J429" s="2" t="s">
        <v>31</v>
      </c>
      <c r="K429" s="2" t="s">
        <v>587</v>
      </c>
      <c r="AD429" s="33" t="str">
        <f t="shared" si="22"/>
        <v>Friday</v>
      </c>
    </row>
    <row r="430" spans="1:30" x14ac:dyDescent="0.2">
      <c r="A430" s="3">
        <v>40360</v>
      </c>
      <c r="B430" s="2" t="s">
        <v>36</v>
      </c>
      <c r="C430" t="s">
        <v>10</v>
      </c>
      <c r="D430" t="s">
        <v>208</v>
      </c>
      <c r="E430" s="2">
        <v>45787</v>
      </c>
      <c r="F430" s="2" cm="1">
        <f t="array" ref="F430">_xlfn.IFS(B430="Owner Surrender",E430,B430="Stray",E430+6,B430="Stray w/identification",E430+11,B430="Bite",E430+10,B430="Other",Blank)</f>
        <v>45787</v>
      </c>
      <c r="G430" s="2">
        <v>45791</v>
      </c>
      <c r="H430" s="5">
        <f t="shared" si="23"/>
        <v>4</v>
      </c>
      <c r="I430" s="5">
        <f t="shared" si="24"/>
        <v>4</v>
      </c>
      <c r="J430" s="2" t="s">
        <v>18</v>
      </c>
      <c r="K430" s="2" t="s">
        <v>586</v>
      </c>
      <c r="AD430" s="33" t="str">
        <f t="shared" si="22"/>
        <v>Wednesday</v>
      </c>
    </row>
    <row r="431" spans="1:30" x14ac:dyDescent="0.2">
      <c r="A431" s="3">
        <v>40361</v>
      </c>
      <c r="B431" s="2" t="s">
        <v>38</v>
      </c>
      <c r="C431" t="s">
        <v>10</v>
      </c>
      <c r="D431" t="s">
        <v>208</v>
      </c>
      <c r="E431" s="2">
        <v>45787</v>
      </c>
      <c r="F431" s="2" cm="1">
        <f t="array" ref="F431">_xlfn.IFS(B431="Owner Surrender",E431,B431="Stray",E431+6,B431="Stray w/identification",E431+11,B431="Bite",E431+10,B431="Other",Blank)</f>
        <v>45793</v>
      </c>
      <c r="G431" s="2">
        <v>45791</v>
      </c>
      <c r="H431" s="5">
        <f t="shared" si="23"/>
        <v>4</v>
      </c>
      <c r="I431" s="5">
        <f t="shared" si="24"/>
        <v>-2</v>
      </c>
      <c r="J431" s="2" t="s">
        <v>18</v>
      </c>
      <c r="K431" s="2" t="s">
        <v>586</v>
      </c>
      <c r="AD431" s="33" t="str">
        <f t="shared" si="22"/>
        <v>Wednesday</v>
      </c>
    </row>
    <row r="432" spans="1:30" x14ac:dyDescent="0.2">
      <c r="A432" s="3">
        <v>40362</v>
      </c>
      <c r="B432" s="2" t="s">
        <v>36</v>
      </c>
      <c r="C432" t="s">
        <v>10</v>
      </c>
      <c r="D432" t="s">
        <v>208</v>
      </c>
      <c r="E432" s="2">
        <v>45787</v>
      </c>
      <c r="F432" s="2" cm="1">
        <f t="array" ref="F432">_xlfn.IFS(B432="Owner Surrender",E432,B432="Stray",E432+6,B432="Stray w/identification",E432+11,B432="Bite",E432+10,B432="Other",Blank)</f>
        <v>45787</v>
      </c>
      <c r="G432" s="2">
        <v>45791</v>
      </c>
      <c r="H432" s="5">
        <f t="shared" si="23"/>
        <v>4</v>
      </c>
      <c r="I432" s="5">
        <f t="shared" si="24"/>
        <v>4</v>
      </c>
      <c r="J432" s="2" t="s">
        <v>18</v>
      </c>
      <c r="K432" s="2" t="s">
        <v>586</v>
      </c>
      <c r="AD432" s="33" t="str">
        <f t="shared" si="22"/>
        <v>Wednesday</v>
      </c>
    </row>
    <row r="433" spans="1:30" x14ac:dyDescent="0.2">
      <c r="A433" s="3">
        <v>40365</v>
      </c>
      <c r="B433" s="2" t="s">
        <v>52</v>
      </c>
      <c r="C433" t="s">
        <v>7</v>
      </c>
      <c r="D433" t="s">
        <v>207</v>
      </c>
      <c r="E433" s="2">
        <v>45789</v>
      </c>
      <c r="F433" s="2" t="e" cm="1">
        <f t="array" ref="F433">_xlfn.IFS(B433="Owner Surrender",E433,B433="Stray",E433+6,B433="Stray w/identification",E433+11,B433="Bite",E433+10,B433="Other",Blank)</f>
        <v>#N/A</v>
      </c>
      <c r="G433" s="2">
        <v>45796</v>
      </c>
      <c r="H433" s="5">
        <f t="shared" si="23"/>
        <v>7</v>
      </c>
      <c r="I433" s="5" t="e">
        <f t="shared" si="24"/>
        <v>#N/A</v>
      </c>
      <c r="J433" s="2" t="s">
        <v>31</v>
      </c>
      <c r="K433" s="2" t="s">
        <v>587</v>
      </c>
      <c r="AD433" s="33" t="str">
        <f t="shared" si="22"/>
        <v>Monday</v>
      </c>
    </row>
    <row r="434" spans="1:30" x14ac:dyDescent="0.2">
      <c r="A434" s="3">
        <v>40366</v>
      </c>
      <c r="B434" s="2" t="s">
        <v>52</v>
      </c>
      <c r="C434" t="s">
        <v>7</v>
      </c>
      <c r="D434" t="s">
        <v>207</v>
      </c>
      <c r="E434" s="2">
        <v>45789</v>
      </c>
      <c r="F434" s="2" t="e" cm="1">
        <f t="array" ref="F434">_xlfn.IFS(B434="Owner Surrender",E434,B434="Stray",E434+6,B434="Stray w/identification",E434+11,B434="Bite",E434+10,B434="Other",Blank)</f>
        <v>#N/A</v>
      </c>
      <c r="G434" s="2">
        <v>45796</v>
      </c>
      <c r="H434" s="5">
        <f t="shared" si="23"/>
        <v>7</v>
      </c>
      <c r="I434" s="5" t="e">
        <f t="shared" si="24"/>
        <v>#N/A</v>
      </c>
      <c r="J434" s="2" t="s">
        <v>31</v>
      </c>
      <c r="K434" s="2" t="s">
        <v>587</v>
      </c>
      <c r="AD434" s="33" t="str">
        <f t="shared" si="22"/>
        <v>Monday</v>
      </c>
    </row>
    <row r="435" spans="1:30" x14ac:dyDescent="0.2">
      <c r="A435" s="3">
        <v>40367</v>
      </c>
      <c r="B435" s="2" t="s">
        <v>52</v>
      </c>
      <c r="C435" t="s">
        <v>7</v>
      </c>
      <c r="D435" t="s">
        <v>207</v>
      </c>
      <c r="E435" s="2">
        <v>45789</v>
      </c>
      <c r="F435" s="2" t="e" cm="1">
        <f t="array" ref="F435">_xlfn.IFS(B435="Owner Surrender",E435,B435="Stray",E435+6,B435="Stray w/identification",E435+11,B435="Bite",E435+10,B435="Other",Blank)</f>
        <v>#N/A</v>
      </c>
      <c r="G435" s="2">
        <v>45796</v>
      </c>
      <c r="H435" s="5">
        <f t="shared" si="23"/>
        <v>7</v>
      </c>
      <c r="I435" s="5" t="e">
        <f t="shared" si="24"/>
        <v>#N/A</v>
      </c>
      <c r="J435" s="2" t="s">
        <v>31</v>
      </c>
      <c r="K435" s="2" t="s">
        <v>587</v>
      </c>
      <c r="AD435" s="33" t="str">
        <f t="shared" si="22"/>
        <v>Monday</v>
      </c>
    </row>
    <row r="436" spans="1:30" x14ac:dyDescent="0.2">
      <c r="A436" s="3">
        <v>40369</v>
      </c>
      <c r="B436" s="2" t="s">
        <v>52</v>
      </c>
      <c r="C436" t="s">
        <v>7</v>
      </c>
      <c r="D436" t="s">
        <v>208</v>
      </c>
      <c r="E436" s="2">
        <v>45789</v>
      </c>
      <c r="F436" s="2" t="e" cm="1">
        <f t="array" ref="F436">_xlfn.IFS(B436="Owner Surrender",E436,B436="Stray",E436+6,B436="Stray w/identification",E436+11,B436="Bite",E436+10,B436="Other",Blank)</f>
        <v>#N/A</v>
      </c>
      <c r="G436" s="2">
        <v>45796</v>
      </c>
      <c r="H436" s="5">
        <f t="shared" si="23"/>
        <v>7</v>
      </c>
      <c r="I436" s="5" t="e">
        <f t="shared" si="24"/>
        <v>#N/A</v>
      </c>
      <c r="J436" s="2" t="s">
        <v>31</v>
      </c>
      <c r="K436" s="2" t="s">
        <v>588</v>
      </c>
      <c r="M436" t="s">
        <v>386</v>
      </c>
      <c r="AD436" s="33" t="str">
        <f t="shared" si="22"/>
        <v>Monday</v>
      </c>
    </row>
    <row r="437" spans="1:30" x14ac:dyDescent="0.2">
      <c r="A437" s="3">
        <v>40370</v>
      </c>
      <c r="B437" s="2" t="s">
        <v>52</v>
      </c>
      <c r="C437" t="s">
        <v>7</v>
      </c>
      <c r="D437" t="s">
        <v>208</v>
      </c>
      <c r="E437" s="2">
        <v>45789</v>
      </c>
      <c r="F437" s="2" t="e" cm="1">
        <f t="array" ref="F437">_xlfn.IFS(B437="Owner Surrender",E437,B437="Stray",E437+6,B437="Stray w/identification",E437+11,B437="Bite",E437+10,B437="Other",Blank)</f>
        <v>#N/A</v>
      </c>
      <c r="G437" s="2">
        <v>45796</v>
      </c>
      <c r="H437" s="5">
        <f t="shared" si="23"/>
        <v>7</v>
      </c>
      <c r="I437" s="5" t="e">
        <f t="shared" si="24"/>
        <v>#N/A</v>
      </c>
      <c r="J437" s="2" t="s">
        <v>31</v>
      </c>
      <c r="K437" s="2" t="s">
        <v>588</v>
      </c>
      <c r="M437" t="s">
        <v>385</v>
      </c>
      <c r="AD437" s="33" t="str">
        <f t="shared" si="22"/>
        <v>Monday</v>
      </c>
    </row>
    <row r="438" spans="1:30" x14ac:dyDescent="0.2">
      <c r="A438" s="3">
        <v>40371</v>
      </c>
      <c r="B438" s="2" t="s">
        <v>52</v>
      </c>
      <c r="C438" t="s">
        <v>7</v>
      </c>
      <c r="D438" t="s">
        <v>208</v>
      </c>
      <c r="E438" s="2">
        <v>45789</v>
      </c>
      <c r="F438" s="2" t="e" cm="1">
        <f t="array" ref="F438">_xlfn.IFS(B438="Owner Surrender",E438,B438="Stray",E438+6,B438="Stray w/identification",E438+11,B438="Bite",E438+10,B438="Other",Blank)</f>
        <v>#N/A</v>
      </c>
      <c r="G438" s="2">
        <v>45796</v>
      </c>
      <c r="H438" s="5">
        <f t="shared" si="23"/>
        <v>7</v>
      </c>
      <c r="I438" s="5" t="e">
        <f t="shared" si="24"/>
        <v>#N/A</v>
      </c>
      <c r="J438" s="2" t="s">
        <v>31</v>
      </c>
      <c r="K438" s="2" t="s">
        <v>588</v>
      </c>
      <c r="M438" t="s">
        <v>33</v>
      </c>
      <c r="AD438" s="33" t="str">
        <f t="shared" si="22"/>
        <v>Monday</v>
      </c>
    </row>
    <row r="439" spans="1:30" x14ac:dyDescent="0.2">
      <c r="A439" s="3">
        <v>40372</v>
      </c>
      <c r="B439" s="2" t="s">
        <v>52</v>
      </c>
      <c r="C439" t="s">
        <v>7</v>
      </c>
      <c r="D439" t="s">
        <v>208</v>
      </c>
      <c r="E439" s="2">
        <v>45789</v>
      </c>
      <c r="F439" s="2" t="e" cm="1">
        <f t="array" ref="F439">_xlfn.IFS(B439="Owner Surrender",E439,B439="Stray",E439+6,B439="Stray w/identification",E439+11,B439="Bite",E439+10,B439="Other",Blank)</f>
        <v>#N/A</v>
      </c>
      <c r="G439" s="2">
        <v>45796</v>
      </c>
      <c r="H439" s="5">
        <f t="shared" si="23"/>
        <v>7</v>
      </c>
      <c r="I439" s="5" t="e">
        <f t="shared" si="24"/>
        <v>#N/A</v>
      </c>
      <c r="J439" s="2" t="s">
        <v>31</v>
      </c>
      <c r="K439" s="2" t="s">
        <v>588</v>
      </c>
      <c r="M439" t="s">
        <v>384</v>
      </c>
      <c r="AD439" s="33" t="str">
        <f t="shared" si="22"/>
        <v>Monday</v>
      </c>
    </row>
    <row r="440" spans="1:30" x14ac:dyDescent="0.2">
      <c r="A440" s="3">
        <v>40373</v>
      </c>
      <c r="B440" s="2" t="s">
        <v>52</v>
      </c>
      <c r="C440" t="s">
        <v>7</v>
      </c>
      <c r="D440" t="s">
        <v>208</v>
      </c>
      <c r="E440" s="2">
        <v>45789</v>
      </c>
      <c r="F440" s="2" t="e" cm="1">
        <f t="array" ref="F440">_xlfn.IFS(B440="Owner Surrender",E440,B440="Stray",E440+6,B440="Stray w/identification",E440+11,B440="Bite",E440+10,B440="Other",Blank)</f>
        <v>#N/A</v>
      </c>
      <c r="G440" s="2">
        <v>45792</v>
      </c>
      <c r="H440" s="5">
        <f t="shared" si="23"/>
        <v>3</v>
      </c>
      <c r="I440" s="5" t="e">
        <f t="shared" si="24"/>
        <v>#N/A</v>
      </c>
      <c r="J440" s="2" t="s">
        <v>28</v>
      </c>
      <c r="K440" s="2" t="s">
        <v>586</v>
      </c>
      <c r="M440" t="s">
        <v>384</v>
      </c>
      <c r="AD440" s="33" t="str">
        <f t="shared" si="22"/>
        <v>Thursday</v>
      </c>
    </row>
    <row r="441" spans="1:30" x14ac:dyDescent="0.2">
      <c r="A441" s="3">
        <v>40375</v>
      </c>
      <c r="B441" s="2" t="s">
        <v>38</v>
      </c>
      <c r="C441" t="s">
        <v>7</v>
      </c>
      <c r="D441" t="s">
        <v>207</v>
      </c>
      <c r="E441" s="2">
        <v>45788</v>
      </c>
      <c r="F441" s="2" cm="1">
        <f t="array" ref="F441">_xlfn.IFS(B441="Owner Surrender",E441,B441="Stray",E441+6,B441="Stray w/identification",E441+11,B441="Bite",E441+10,B441="Other",Blank)</f>
        <v>45794</v>
      </c>
      <c r="G441" s="2">
        <v>45796</v>
      </c>
      <c r="H441" s="5">
        <f t="shared" si="23"/>
        <v>8</v>
      </c>
      <c r="I441" s="5">
        <f t="shared" si="24"/>
        <v>2</v>
      </c>
      <c r="J441" s="2" t="s">
        <v>31</v>
      </c>
      <c r="K441" s="2" t="s">
        <v>587</v>
      </c>
      <c r="AD441" s="33" t="str">
        <f t="shared" si="22"/>
        <v>Monday</v>
      </c>
    </row>
    <row r="442" spans="1:30" x14ac:dyDescent="0.2">
      <c r="A442" s="3">
        <v>40376</v>
      </c>
      <c r="B442" s="2" t="s">
        <v>38</v>
      </c>
      <c r="C442" t="s">
        <v>7</v>
      </c>
      <c r="D442" t="s">
        <v>208</v>
      </c>
      <c r="E442" s="2">
        <v>45788</v>
      </c>
      <c r="F442" s="2" cm="1">
        <f t="array" ref="F442">_xlfn.IFS(B442="Owner Surrender",E442,B442="Stray",E442+6,B442="Stray w/identification",E442+11,B442="Bite",E442+10,B442="Other",Blank)</f>
        <v>45794</v>
      </c>
      <c r="G442" s="2">
        <v>45797</v>
      </c>
      <c r="H442" s="5">
        <f t="shared" si="23"/>
        <v>9</v>
      </c>
      <c r="I442" s="5">
        <f t="shared" si="24"/>
        <v>3</v>
      </c>
      <c r="J442" s="2" t="s">
        <v>18</v>
      </c>
      <c r="K442" s="2" t="s">
        <v>586</v>
      </c>
      <c r="AD442" s="33" t="str">
        <f t="shared" si="22"/>
        <v>Tuesday</v>
      </c>
    </row>
    <row r="443" spans="1:30" x14ac:dyDescent="0.2">
      <c r="A443" s="3">
        <v>40377</v>
      </c>
      <c r="B443" s="2" t="s">
        <v>38</v>
      </c>
      <c r="C443" t="s">
        <v>7</v>
      </c>
      <c r="D443" t="s">
        <v>208</v>
      </c>
      <c r="E443" s="2">
        <v>45788</v>
      </c>
      <c r="F443" s="2" cm="1">
        <f t="array" ref="F443">_xlfn.IFS(B443="Owner Surrender",E443,B443="Stray",E443+6,B443="Stray w/identification",E443+11,B443="Bite",E443+10,B443="Other",Blank)</f>
        <v>45794</v>
      </c>
      <c r="G443" s="2">
        <v>45797</v>
      </c>
      <c r="H443" s="5">
        <f t="shared" si="23"/>
        <v>9</v>
      </c>
      <c r="I443" s="5">
        <f t="shared" si="24"/>
        <v>3</v>
      </c>
      <c r="J443" s="2" t="s">
        <v>18</v>
      </c>
      <c r="K443" s="2" t="s">
        <v>586</v>
      </c>
      <c r="AD443" s="33" t="str">
        <f t="shared" si="22"/>
        <v>Tuesday</v>
      </c>
    </row>
    <row r="444" spans="1:30" x14ac:dyDescent="0.2">
      <c r="A444" s="3">
        <v>40378</v>
      </c>
      <c r="B444" s="2" t="s">
        <v>36</v>
      </c>
      <c r="C444" t="s">
        <v>7</v>
      </c>
      <c r="D444" t="s">
        <v>207</v>
      </c>
      <c r="E444" s="2">
        <v>45789</v>
      </c>
      <c r="F444" s="2" cm="1">
        <f t="array" ref="F444">_xlfn.IFS(B444="Owner Surrender",E444,B444="Stray",E444+6,B444="Stray w/identification",E444+11,B444="Bite",E444+10,B444="Other",Blank)</f>
        <v>45789</v>
      </c>
      <c r="G444" s="2">
        <v>45794</v>
      </c>
      <c r="H444" s="5">
        <f t="shared" si="23"/>
        <v>5</v>
      </c>
      <c r="I444" s="5">
        <f t="shared" si="24"/>
        <v>5</v>
      </c>
      <c r="J444" s="2" t="s">
        <v>18</v>
      </c>
      <c r="K444" s="2" t="s">
        <v>586</v>
      </c>
      <c r="AD444" s="33" t="str">
        <f t="shared" si="22"/>
        <v>Saturday</v>
      </c>
    </row>
    <row r="445" spans="1:30" x14ac:dyDescent="0.2">
      <c r="A445" s="3">
        <v>40381</v>
      </c>
      <c r="B445" s="2" t="s">
        <v>38</v>
      </c>
      <c r="C445" t="s">
        <v>10</v>
      </c>
      <c r="D445" t="s">
        <v>207</v>
      </c>
      <c r="E445" s="2">
        <v>45789</v>
      </c>
      <c r="F445" s="2" cm="1">
        <f t="array" ref="F445">_xlfn.IFS(B445="Owner Surrender",E445,B445="Stray",E445+6,B445="Stray w/identification",E445+11,B445="Bite",E445+10,B445="Other",Blank)</f>
        <v>45795</v>
      </c>
      <c r="G445" s="2">
        <v>45797</v>
      </c>
      <c r="H445" s="5">
        <f t="shared" si="23"/>
        <v>8</v>
      </c>
      <c r="I445" s="5">
        <f t="shared" si="24"/>
        <v>2</v>
      </c>
      <c r="J445" s="2" t="s">
        <v>18</v>
      </c>
      <c r="K445" s="2" t="s">
        <v>586</v>
      </c>
      <c r="M445" t="s">
        <v>34</v>
      </c>
      <c r="AD445" s="33" t="str">
        <f t="shared" si="22"/>
        <v>Tuesday</v>
      </c>
    </row>
    <row r="446" spans="1:30" x14ac:dyDescent="0.2">
      <c r="A446" s="3">
        <v>40382</v>
      </c>
      <c r="B446" s="2" t="s">
        <v>36</v>
      </c>
      <c r="C446" t="s">
        <v>7</v>
      </c>
      <c r="D446" t="s">
        <v>207</v>
      </c>
      <c r="E446" s="2">
        <v>45789</v>
      </c>
      <c r="F446" s="2" cm="1">
        <f t="array" ref="F446">_xlfn.IFS(B446="Owner Surrender",E446,B446="Stray",E446+6,B446="Stray w/identification",E446+11,B446="Bite",E446+10,B446="Other",Blank)</f>
        <v>45789</v>
      </c>
      <c r="G446" s="2">
        <v>45789</v>
      </c>
      <c r="H446" s="5">
        <f t="shared" si="23"/>
        <v>0</v>
      </c>
      <c r="I446" s="5">
        <f t="shared" si="24"/>
        <v>0</v>
      </c>
      <c r="J446" s="2" t="s">
        <v>31</v>
      </c>
      <c r="K446" s="2" t="s">
        <v>587</v>
      </c>
      <c r="AD446" s="33" t="str">
        <f t="shared" si="22"/>
        <v>Monday</v>
      </c>
    </row>
    <row r="447" spans="1:30" x14ac:dyDescent="0.2">
      <c r="A447" s="3">
        <v>40388</v>
      </c>
      <c r="B447" s="2" t="s">
        <v>52</v>
      </c>
      <c r="C447" t="s">
        <v>10</v>
      </c>
      <c r="D447" t="s">
        <v>208</v>
      </c>
      <c r="E447" s="2">
        <v>45790</v>
      </c>
      <c r="F447" s="2" t="e" cm="1">
        <f t="array" ref="F447">_xlfn.IFS(B447="Owner Surrender",E447,B447="Stray",E447+6,B447="Stray w/identification",E447+11,B447="Bite",E447+10,B447="Other",Blank)</f>
        <v>#N/A</v>
      </c>
      <c r="G447" s="2">
        <v>45797</v>
      </c>
      <c r="H447" s="5">
        <f t="shared" si="23"/>
        <v>7</v>
      </c>
      <c r="I447" s="5" t="e">
        <f t="shared" si="24"/>
        <v>#N/A</v>
      </c>
      <c r="J447" s="2" t="s">
        <v>18</v>
      </c>
      <c r="K447" s="2" t="s">
        <v>586</v>
      </c>
      <c r="AD447" s="33" t="str">
        <f t="shared" si="22"/>
        <v>Tuesday</v>
      </c>
    </row>
    <row r="448" spans="1:30" x14ac:dyDescent="0.2">
      <c r="A448" s="3">
        <v>40390</v>
      </c>
      <c r="B448" s="2" t="s">
        <v>52</v>
      </c>
      <c r="C448" t="s">
        <v>15</v>
      </c>
      <c r="D448" t="s">
        <v>207</v>
      </c>
      <c r="E448" s="2">
        <v>45790</v>
      </c>
      <c r="F448" s="2" t="e" cm="1">
        <f t="array" ref="F448">_xlfn.IFS(B448="Owner Surrender",E448,B448="Stray",E448+6,B448="Stray w/identification",E448+11,B448="Bite",E448+10,B448="Other",Blank)</f>
        <v>#N/A</v>
      </c>
      <c r="G448" s="2">
        <v>45797</v>
      </c>
      <c r="H448" s="5">
        <f t="shared" si="23"/>
        <v>7</v>
      </c>
      <c r="I448" s="5" t="e">
        <f t="shared" si="24"/>
        <v>#N/A</v>
      </c>
      <c r="J448" s="2" t="s">
        <v>18</v>
      </c>
      <c r="K448" s="2" t="s">
        <v>586</v>
      </c>
      <c r="AD448" s="33" t="str">
        <f t="shared" si="22"/>
        <v>Tuesday</v>
      </c>
    </row>
    <row r="449" spans="1:30" x14ac:dyDescent="0.2">
      <c r="A449" s="3">
        <v>40393</v>
      </c>
      <c r="B449" s="2" t="s">
        <v>38</v>
      </c>
      <c r="C449" t="s">
        <v>7</v>
      </c>
      <c r="D449" t="s">
        <v>207</v>
      </c>
      <c r="E449" s="2">
        <v>45791</v>
      </c>
      <c r="F449" s="2" cm="1">
        <f t="array" ref="F449">_xlfn.IFS(B449="Owner Surrender",E449,B449="Stray",E449+6,B449="Stray w/identification",E449+11,B449="Bite",E449+10,B449="Other",Blank)</f>
        <v>45797</v>
      </c>
      <c r="G449" s="2">
        <v>45797</v>
      </c>
      <c r="H449" s="5">
        <f t="shared" si="23"/>
        <v>6</v>
      </c>
      <c r="I449" s="5">
        <f t="shared" si="24"/>
        <v>0</v>
      </c>
      <c r="J449" s="2" t="s">
        <v>18</v>
      </c>
      <c r="K449" s="2" t="s">
        <v>586</v>
      </c>
      <c r="AD449" s="33" t="str">
        <f t="shared" si="22"/>
        <v>Tuesday</v>
      </c>
    </row>
    <row r="450" spans="1:30" x14ac:dyDescent="0.2">
      <c r="A450" s="3">
        <v>40395</v>
      </c>
      <c r="B450" s="2" t="s">
        <v>52</v>
      </c>
      <c r="C450" t="s">
        <v>10</v>
      </c>
      <c r="D450" t="s">
        <v>209</v>
      </c>
      <c r="E450" s="2">
        <v>45791</v>
      </c>
      <c r="F450" s="2" t="e" cm="1">
        <f t="array" ref="F450">_xlfn.IFS(B450="Owner Surrender",E450,B450="Stray",E450+6,B450="Stray w/identification",E450+11,B450="Bite",E450+10,B450="Other",Blank)</f>
        <v>#N/A</v>
      </c>
      <c r="G450" s="2">
        <v>45797</v>
      </c>
      <c r="H450" s="5">
        <f t="shared" si="23"/>
        <v>6</v>
      </c>
      <c r="I450" s="5" t="e">
        <f t="shared" si="24"/>
        <v>#N/A</v>
      </c>
      <c r="J450" s="2" t="s">
        <v>31</v>
      </c>
      <c r="K450" s="2" t="s">
        <v>587</v>
      </c>
      <c r="M450" t="s">
        <v>383</v>
      </c>
      <c r="AD450" s="33" t="str">
        <f t="shared" si="22"/>
        <v>Tuesday</v>
      </c>
    </row>
    <row r="451" spans="1:30" x14ac:dyDescent="0.2">
      <c r="A451" s="3">
        <v>40399</v>
      </c>
      <c r="B451" s="2" t="s">
        <v>38</v>
      </c>
      <c r="C451" t="s">
        <v>10</v>
      </c>
      <c r="D451" t="s">
        <v>208</v>
      </c>
      <c r="E451" s="2">
        <v>45791</v>
      </c>
      <c r="F451" s="2" cm="1">
        <f t="array" ref="F451">_xlfn.IFS(B451="Owner Surrender",E451,B451="Stray",E451+6,B451="Stray w/identification",E451+11,B451="Bite",E451+10,B451="Other",Blank)</f>
        <v>45797</v>
      </c>
      <c r="G451" s="2">
        <v>45791</v>
      </c>
      <c r="H451" s="5">
        <f t="shared" si="23"/>
        <v>0</v>
      </c>
      <c r="I451" s="5">
        <f t="shared" si="24"/>
        <v>-6</v>
      </c>
      <c r="J451" s="2" t="s">
        <v>31</v>
      </c>
      <c r="K451" s="2" t="s">
        <v>588</v>
      </c>
      <c r="M451" t="s">
        <v>382</v>
      </c>
      <c r="AD451" s="33" t="str">
        <f t="shared" si="22"/>
        <v>Wednesday</v>
      </c>
    </row>
    <row r="452" spans="1:30" x14ac:dyDescent="0.2">
      <c r="A452" s="3">
        <v>40400</v>
      </c>
      <c r="B452" s="2" t="s">
        <v>38</v>
      </c>
      <c r="C452" t="s">
        <v>10</v>
      </c>
      <c r="D452" t="s">
        <v>208</v>
      </c>
      <c r="E452" s="2">
        <v>45791</v>
      </c>
      <c r="F452" s="2" cm="1">
        <f t="array" ref="F452">_xlfn.IFS(B452="Owner Surrender",E452,B452="Stray",E452+6,B452="Stray w/identification",E452+11,B452="Bite",E452+10,B452="Other",Blank)</f>
        <v>45797</v>
      </c>
      <c r="G452" s="2">
        <v>45796</v>
      </c>
      <c r="H452" s="5">
        <f t="shared" si="23"/>
        <v>5</v>
      </c>
      <c r="I452" s="5">
        <f t="shared" si="24"/>
        <v>-1</v>
      </c>
      <c r="J452" s="2" t="s">
        <v>31</v>
      </c>
      <c r="K452" s="2" t="s">
        <v>143</v>
      </c>
      <c r="AD452" s="33" t="str">
        <f t="shared" ref="AD452:AD515" si="25">TEXT(G452,"DDDD")</f>
        <v>Monday</v>
      </c>
    </row>
    <row r="453" spans="1:30" x14ac:dyDescent="0.2">
      <c r="A453" s="3">
        <v>40401</v>
      </c>
      <c r="B453" s="2" t="s">
        <v>38</v>
      </c>
      <c r="C453" t="s">
        <v>10</v>
      </c>
      <c r="D453" t="s">
        <v>208</v>
      </c>
      <c r="E453" s="2">
        <v>45791</v>
      </c>
      <c r="F453" s="2" cm="1">
        <f t="array" ref="F453">_xlfn.IFS(B453="Owner Surrender",E453,B453="Stray",E453+6,B453="Stray w/identification",E453+11,B453="Bite",E453+10,B453="Other",Blank)</f>
        <v>45797</v>
      </c>
      <c r="G453" s="2">
        <v>45796</v>
      </c>
      <c r="H453" s="5">
        <f t="shared" si="23"/>
        <v>5</v>
      </c>
      <c r="I453" s="5">
        <f t="shared" si="24"/>
        <v>-1</v>
      </c>
      <c r="J453" s="2" t="s">
        <v>31</v>
      </c>
      <c r="K453" s="2" t="s">
        <v>143</v>
      </c>
      <c r="AD453" s="33" t="str">
        <f t="shared" si="25"/>
        <v>Monday</v>
      </c>
    </row>
    <row r="454" spans="1:30" x14ac:dyDescent="0.2">
      <c r="A454" s="3">
        <v>40402</v>
      </c>
      <c r="B454" s="2" t="s">
        <v>38</v>
      </c>
      <c r="C454" t="s">
        <v>10</v>
      </c>
      <c r="D454" t="s">
        <v>208</v>
      </c>
      <c r="E454" s="2">
        <v>45791</v>
      </c>
      <c r="F454" s="2" cm="1">
        <f t="array" ref="F454">_xlfn.IFS(B454="Owner Surrender",E454,B454="Stray",E454+6,B454="Stray w/identification",E454+11,B454="Bite",E454+10,B454="Other",Blank)</f>
        <v>45797</v>
      </c>
      <c r="G454" s="2">
        <v>45797</v>
      </c>
      <c r="H454" s="5">
        <f t="shared" si="23"/>
        <v>6</v>
      </c>
      <c r="I454" s="5">
        <f t="shared" si="24"/>
        <v>0</v>
      </c>
      <c r="J454" s="2" t="s">
        <v>18</v>
      </c>
      <c r="K454" s="2" t="s">
        <v>586</v>
      </c>
      <c r="AD454" s="33" t="str">
        <f t="shared" si="25"/>
        <v>Tuesday</v>
      </c>
    </row>
    <row r="455" spans="1:30" x14ac:dyDescent="0.2">
      <c r="A455" s="3">
        <v>40415</v>
      </c>
      <c r="B455" s="2" t="s">
        <v>38</v>
      </c>
      <c r="C455" t="s">
        <v>10</v>
      </c>
      <c r="D455" t="s">
        <v>207</v>
      </c>
      <c r="E455" s="2">
        <v>45792</v>
      </c>
      <c r="F455" s="2" cm="1">
        <f t="array" ref="F455">_xlfn.IFS(B455="Owner Surrender",E455,B455="Stray",E455+6,B455="Stray w/identification",E455+11,B455="Bite",E455+10,B455="Other",Blank)</f>
        <v>45798</v>
      </c>
      <c r="G455" s="2">
        <v>45792</v>
      </c>
      <c r="H455" s="5">
        <f t="shared" si="23"/>
        <v>0</v>
      </c>
      <c r="I455" s="5">
        <f t="shared" si="24"/>
        <v>-6</v>
      </c>
      <c r="J455" s="2" t="s">
        <v>31</v>
      </c>
      <c r="K455" s="2" t="s">
        <v>588</v>
      </c>
      <c r="M455" t="s">
        <v>381</v>
      </c>
      <c r="AD455" s="33" t="str">
        <f t="shared" si="25"/>
        <v>Thursday</v>
      </c>
    </row>
    <row r="456" spans="1:30" x14ac:dyDescent="0.2">
      <c r="A456" s="3">
        <v>40416</v>
      </c>
      <c r="B456" s="2" t="s">
        <v>36</v>
      </c>
      <c r="C456" t="s">
        <v>7</v>
      </c>
      <c r="D456" t="s">
        <v>208</v>
      </c>
      <c r="E456" s="2">
        <v>45792</v>
      </c>
      <c r="F456" s="2" cm="1">
        <f t="array" ref="F456">_xlfn.IFS(B456="Owner Surrender",E456,B456="Stray",E456+6,B456="Stray w/identification",E456+11,B456="Bite",E456+10,B456="Other",Blank)</f>
        <v>45792</v>
      </c>
      <c r="G456" s="2">
        <v>45796</v>
      </c>
      <c r="H456" s="5">
        <f t="shared" si="23"/>
        <v>4</v>
      </c>
      <c r="I456" s="5">
        <f t="shared" si="24"/>
        <v>4</v>
      </c>
      <c r="J456" s="2" t="s">
        <v>31</v>
      </c>
      <c r="K456" s="2" t="s">
        <v>143</v>
      </c>
      <c r="AD456" s="33" t="str">
        <f t="shared" si="25"/>
        <v>Monday</v>
      </c>
    </row>
    <row r="457" spans="1:30" x14ac:dyDescent="0.2">
      <c r="A457" s="3">
        <v>40417</v>
      </c>
      <c r="B457" s="2" t="s">
        <v>36</v>
      </c>
      <c r="C457" t="s">
        <v>7</v>
      </c>
      <c r="D457" t="s">
        <v>208</v>
      </c>
      <c r="E457" s="2">
        <v>45792</v>
      </c>
      <c r="F457" s="2" cm="1">
        <f t="array" ref="F457">_xlfn.IFS(B457="Owner Surrender",E457,B457="Stray",E457+6,B457="Stray w/identification",E457+11,B457="Bite",E457+10,B457="Other",Blank)</f>
        <v>45792</v>
      </c>
      <c r="G457" s="2">
        <v>45796</v>
      </c>
      <c r="H457" s="5">
        <f t="shared" si="23"/>
        <v>4</v>
      </c>
      <c r="I457" s="5">
        <f t="shared" si="24"/>
        <v>4</v>
      </c>
      <c r="J457" s="2" t="s">
        <v>31</v>
      </c>
      <c r="K457" s="2" t="s">
        <v>143</v>
      </c>
      <c r="AD457" s="33" t="str">
        <f t="shared" si="25"/>
        <v>Monday</v>
      </c>
    </row>
    <row r="458" spans="1:30" x14ac:dyDescent="0.2">
      <c r="A458" s="3">
        <v>40418</v>
      </c>
      <c r="B458" s="2" t="s">
        <v>36</v>
      </c>
      <c r="C458" t="s">
        <v>7</v>
      </c>
      <c r="D458" t="s">
        <v>208</v>
      </c>
      <c r="E458" s="2">
        <v>45792</v>
      </c>
      <c r="F458" s="2" cm="1">
        <f t="array" ref="F458">_xlfn.IFS(B458="Owner Surrender",E458,B458="Stray",E458+6,B458="Stray w/identification",E458+11,B458="Bite",E458+10,B458="Other",Blank)</f>
        <v>45792</v>
      </c>
      <c r="G458" s="2">
        <v>45796</v>
      </c>
      <c r="H458" s="5">
        <f t="shared" si="23"/>
        <v>4</v>
      </c>
      <c r="I458" s="5">
        <f t="shared" si="24"/>
        <v>4</v>
      </c>
      <c r="J458" s="2" t="s">
        <v>31</v>
      </c>
      <c r="K458" s="2" t="s">
        <v>143</v>
      </c>
      <c r="AD458" s="33" t="str">
        <f t="shared" si="25"/>
        <v>Monday</v>
      </c>
    </row>
    <row r="459" spans="1:30" x14ac:dyDescent="0.2">
      <c r="A459" s="3">
        <v>40419</v>
      </c>
      <c r="B459" s="2" t="s">
        <v>36</v>
      </c>
      <c r="C459" t="s">
        <v>7</v>
      </c>
      <c r="D459" t="s">
        <v>208</v>
      </c>
      <c r="E459" s="2">
        <v>45792</v>
      </c>
      <c r="F459" s="2" cm="1">
        <f t="array" ref="F459">_xlfn.IFS(B459="Owner Surrender",E459,B459="Stray",E459+6,B459="Stray w/identification",E459+11,B459="Bite",E459+10,B459="Other",Blank)</f>
        <v>45792</v>
      </c>
      <c r="G459" s="2">
        <v>45796</v>
      </c>
      <c r="H459" s="5">
        <f t="shared" si="23"/>
        <v>4</v>
      </c>
      <c r="I459" s="5">
        <f t="shared" si="24"/>
        <v>4</v>
      </c>
      <c r="J459" s="2" t="s">
        <v>31</v>
      </c>
      <c r="K459" s="2" t="s">
        <v>143</v>
      </c>
      <c r="AD459" s="33" t="str">
        <f t="shared" si="25"/>
        <v>Monday</v>
      </c>
    </row>
    <row r="460" spans="1:30" x14ac:dyDescent="0.2">
      <c r="A460" s="3">
        <v>40420</v>
      </c>
      <c r="B460" s="2" t="s">
        <v>36</v>
      </c>
      <c r="C460" t="s">
        <v>7</v>
      </c>
      <c r="D460" t="s">
        <v>207</v>
      </c>
      <c r="E460" s="2">
        <v>45792</v>
      </c>
      <c r="F460" s="2" cm="1">
        <f t="array" ref="F460">_xlfn.IFS(B460="Owner Surrender",E460,B460="Stray",E460+6,B460="Stray w/identification",E460+11,B460="Bite",E460+10,B460="Other",Blank)</f>
        <v>45792</v>
      </c>
      <c r="G460" s="2">
        <v>45796</v>
      </c>
      <c r="H460" s="5">
        <f t="shared" si="23"/>
        <v>4</v>
      </c>
      <c r="I460" s="5">
        <f t="shared" si="24"/>
        <v>4</v>
      </c>
      <c r="J460" s="2" t="s">
        <v>31</v>
      </c>
      <c r="K460" s="2" t="s">
        <v>587</v>
      </c>
      <c r="AD460" s="33" t="str">
        <f t="shared" si="25"/>
        <v>Monday</v>
      </c>
    </row>
    <row r="461" spans="1:30" x14ac:dyDescent="0.2">
      <c r="A461" s="3">
        <v>40421</v>
      </c>
      <c r="B461" s="2" t="s">
        <v>36</v>
      </c>
      <c r="C461" t="s">
        <v>7</v>
      </c>
      <c r="D461" t="s">
        <v>208</v>
      </c>
      <c r="E461" s="2">
        <v>45792</v>
      </c>
      <c r="F461" s="2" cm="1">
        <f t="array" ref="F461">_xlfn.IFS(B461="Owner Surrender",E461,B461="Stray",E461+6,B461="Stray w/identification",E461+11,B461="Bite",E461+10,B461="Other",Blank)</f>
        <v>45792</v>
      </c>
      <c r="G461" s="2">
        <v>45797</v>
      </c>
      <c r="H461" s="5">
        <f t="shared" si="23"/>
        <v>5</v>
      </c>
      <c r="I461" s="5">
        <f t="shared" si="24"/>
        <v>5</v>
      </c>
      <c r="J461" s="2" t="s">
        <v>18</v>
      </c>
      <c r="K461" s="2" t="s">
        <v>586</v>
      </c>
      <c r="AD461" s="33" t="str">
        <f t="shared" si="25"/>
        <v>Tuesday</v>
      </c>
    </row>
    <row r="462" spans="1:30" x14ac:dyDescent="0.2">
      <c r="A462" s="3">
        <v>40422</v>
      </c>
      <c r="B462" s="2" t="s">
        <v>36</v>
      </c>
      <c r="C462" t="s">
        <v>7</v>
      </c>
      <c r="D462" t="s">
        <v>208</v>
      </c>
      <c r="E462" s="2">
        <v>45792</v>
      </c>
      <c r="F462" s="2" cm="1">
        <f t="array" ref="F462">_xlfn.IFS(B462="Owner Surrender",E462,B462="Stray",E462+6,B462="Stray w/identification",E462+11,B462="Bite",E462+10,B462="Other",Blank)</f>
        <v>45792</v>
      </c>
      <c r="G462" s="2">
        <v>45797</v>
      </c>
      <c r="H462" s="5">
        <f t="shared" si="23"/>
        <v>5</v>
      </c>
      <c r="I462" s="5">
        <f t="shared" si="24"/>
        <v>5</v>
      </c>
      <c r="J462" s="2" t="s">
        <v>18</v>
      </c>
      <c r="K462" s="2" t="s">
        <v>586</v>
      </c>
      <c r="AD462" s="33" t="str">
        <f t="shared" si="25"/>
        <v>Tuesday</v>
      </c>
    </row>
    <row r="463" spans="1:30" x14ac:dyDescent="0.2">
      <c r="A463" s="3">
        <v>40423</v>
      </c>
      <c r="B463" s="2" t="s">
        <v>36</v>
      </c>
      <c r="C463" t="s">
        <v>7</v>
      </c>
      <c r="D463" t="s">
        <v>208</v>
      </c>
      <c r="E463" s="2">
        <v>45792</v>
      </c>
      <c r="F463" s="2" cm="1">
        <f t="array" ref="F463">_xlfn.IFS(B463="Owner Surrender",E463,B463="Stray",E463+6,B463="Stray w/identification",E463+11,B463="Bite",E463+10,B463="Other",Blank)</f>
        <v>45792</v>
      </c>
      <c r="G463" s="2">
        <v>45797</v>
      </c>
      <c r="H463" s="5">
        <f t="shared" si="23"/>
        <v>5</v>
      </c>
      <c r="I463" s="5">
        <f t="shared" si="24"/>
        <v>5</v>
      </c>
      <c r="J463" s="2" t="s">
        <v>18</v>
      </c>
      <c r="K463" s="2" t="s">
        <v>586</v>
      </c>
      <c r="AD463" s="33" t="str">
        <f t="shared" si="25"/>
        <v>Tuesday</v>
      </c>
    </row>
    <row r="464" spans="1:30" x14ac:dyDescent="0.2">
      <c r="A464" s="3">
        <v>40424</v>
      </c>
      <c r="B464" s="2" t="s">
        <v>36</v>
      </c>
      <c r="C464" t="s">
        <v>7</v>
      </c>
      <c r="D464" t="s">
        <v>208</v>
      </c>
      <c r="E464" s="2">
        <v>45792</v>
      </c>
      <c r="F464" s="2" cm="1">
        <f t="array" ref="F464">_xlfn.IFS(B464="Owner Surrender",E464,B464="Stray",E464+6,B464="Stray w/identification",E464+11,B464="Bite",E464+10,B464="Other",Blank)</f>
        <v>45792</v>
      </c>
      <c r="G464" s="2">
        <v>45797</v>
      </c>
      <c r="H464" s="5">
        <f t="shared" si="23"/>
        <v>5</v>
      </c>
      <c r="I464" s="5">
        <f t="shared" si="24"/>
        <v>5</v>
      </c>
      <c r="J464" s="2" t="s">
        <v>18</v>
      </c>
      <c r="K464" s="2" t="s">
        <v>586</v>
      </c>
      <c r="AD464" s="33" t="str">
        <f t="shared" si="25"/>
        <v>Tuesday</v>
      </c>
    </row>
    <row r="465" spans="1:30" x14ac:dyDescent="0.2">
      <c r="A465" s="3">
        <v>40425</v>
      </c>
      <c r="B465" s="2" t="s">
        <v>36</v>
      </c>
      <c r="C465" t="s">
        <v>7</v>
      </c>
      <c r="D465" t="s">
        <v>208</v>
      </c>
      <c r="E465" s="2">
        <v>45792</v>
      </c>
      <c r="F465" s="2" cm="1">
        <f t="array" ref="F465">_xlfn.IFS(B465="Owner Surrender",E465,B465="Stray",E465+6,B465="Stray w/identification",E465+11,B465="Bite",E465+10,B465="Other",Blank)</f>
        <v>45792</v>
      </c>
      <c r="G465" s="2">
        <v>45797</v>
      </c>
      <c r="H465" s="5">
        <f t="shared" si="23"/>
        <v>5</v>
      </c>
      <c r="I465" s="5">
        <f t="shared" si="24"/>
        <v>5</v>
      </c>
      <c r="J465" s="2" t="s">
        <v>18</v>
      </c>
      <c r="K465" s="2" t="s">
        <v>586</v>
      </c>
      <c r="AD465" s="33" t="str">
        <f t="shared" si="25"/>
        <v>Tuesday</v>
      </c>
    </row>
    <row r="466" spans="1:30" x14ac:dyDescent="0.2">
      <c r="A466" s="3">
        <v>40426</v>
      </c>
      <c r="B466" s="2" t="s">
        <v>36</v>
      </c>
      <c r="C466" t="s">
        <v>7</v>
      </c>
      <c r="D466" t="s">
        <v>208</v>
      </c>
      <c r="E466" s="2">
        <v>45792</v>
      </c>
      <c r="F466" s="2" cm="1">
        <f t="array" ref="F466">_xlfn.IFS(B466="Owner Surrender",E466,B466="Stray",E466+6,B466="Stray w/identification",E466+11,B466="Bite",E466+10,B466="Other",Blank)</f>
        <v>45792</v>
      </c>
      <c r="G466" s="2">
        <v>45797</v>
      </c>
      <c r="H466" s="5">
        <f t="shared" si="23"/>
        <v>5</v>
      </c>
      <c r="I466" s="5">
        <f t="shared" si="24"/>
        <v>5</v>
      </c>
      <c r="J466" s="2" t="s">
        <v>18</v>
      </c>
      <c r="K466" s="2" t="s">
        <v>586</v>
      </c>
      <c r="AD466" s="33" t="str">
        <f t="shared" si="25"/>
        <v>Tuesday</v>
      </c>
    </row>
    <row r="467" spans="1:30" x14ac:dyDescent="0.2">
      <c r="A467" s="3">
        <v>40427</v>
      </c>
      <c r="B467" s="2" t="s">
        <v>36</v>
      </c>
      <c r="C467" t="s">
        <v>7</v>
      </c>
      <c r="D467" t="s">
        <v>208</v>
      </c>
      <c r="E467" s="2">
        <v>45792</v>
      </c>
      <c r="F467" s="2" cm="1">
        <f t="array" ref="F467">_xlfn.IFS(B467="Owner Surrender",E467,B467="Stray",E467+6,B467="Stray w/identification",E467+11,B467="Bite",E467+10,B467="Other",Blank)</f>
        <v>45792</v>
      </c>
      <c r="G467" s="2">
        <v>45797</v>
      </c>
      <c r="H467" s="5">
        <f t="shared" si="23"/>
        <v>5</v>
      </c>
      <c r="I467" s="5">
        <f t="shared" si="24"/>
        <v>5</v>
      </c>
      <c r="J467" s="2" t="s">
        <v>18</v>
      </c>
      <c r="K467" s="2" t="s">
        <v>586</v>
      </c>
      <c r="AD467" s="33" t="str">
        <f t="shared" si="25"/>
        <v>Tuesday</v>
      </c>
    </row>
    <row r="468" spans="1:30" x14ac:dyDescent="0.2">
      <c r="A468" s="3">
        <v>40428</v>
      </c>
      <c r="B468" s="2" t="s">
        <v>36</v>
      </c>
      <c r="C468" t="s">
        <v>7</v>
      </c>
      <c r="D468" t="s">
        <v>208</v>
      </c>
      <c r="E468" s="2">
        <v>45792</v>
      </c>
      <c r="F468" s="2" cm="1">
        <f t="array" ref="F468">_xlfn.IFS(B468="Owner Surrender",E468,B468="Stray",E468+6,B468="Stray w/identification",E468+11,B468="Bite",E468+10,B468="Other",Blank)</f>
        <v>45792</v>
      </c>
      <c r="G468" s="2">
        <v>45797</v>
      </c>
      <c r="H468" s="5">
        <f t="shared" si="23"/>
        <v>5</v>
      </c>
      <c r="I468" s="5">
        <f t="shared" si="24"/>
        <v>5</v>
      </c>
      <c r="J468" s="2" t="s">
        <v>18</v>
      </c>
      <c r="K468" s="2" t="s">
        <v>586</v>
      </c>
      <c r="AD468" s="33" t="str">
        <f t="shared" si="25"/>
        <v>Tuesday</v>
      </c>
    </row>
    <row r="469" spans="1:30" x14ac:dyDescent="0.2">
      <c r="A469" s="3">
        <v>40432</v>
      </c>
      <c r="B469" s="2" t="s">
        <v>38</v>
      </c>
      <c r="C469" t="s">
        <v>7</v>
      </c>
      <c r="D469" t="s">
        <v>207</v>
      </c>
      <c r="E469" s="2">
        <v>45793</v>
      </c>
      <c r="F469" s="2" cm="1">
        <f t="array" ref="F469">_xlfn.IFS(B469="Owner Surrender",E469,B469="Stray",E469+6,B469="Stray w/identification",E469+11,B469="Bite",E469+10,B469="Other",Blank)</f>
        <v>45799</v>
      </c>
      <c r="G469" s="2">
        <v>45856</v>
      </c>
      <c r="H469" s="5">
        <f t="shared" si="23"/>
        <v>63</v>
      </c>
      <c r="I469" s="5">
        <f t="shared" si="24"/>
        <v>57</v>
      </c>
      <c r="J469" s="2" t="s">
        <v>31</v>
      </c>
      <c r="K469" s="2" t="s">
        <v>587</v>
      </c>
      <c r="L469" s="2" t="s">
        <v>112</v>
      </c>
      <c r="AD469" s="33" t="str">
        <f t="shared" si="25"/>
        <v>Friday</v>
      </c>
    </row>
    <row r="470" spans="1:30" x14ac:dyDescent="0.2">
      <c r="A470" s="3">
        <v>40435</v>
      </c>
      <c r="B470" s="2" t="s">
        <v>38</v>
      </c>
      <c r="C470" t="s">
        <v>7</v>
      </c>
      <c r="D470" t="s">
        <v>208</v>
      </c>
      <c r="E470" s="2">
        <v>45793</v>
      </c>
      <c r="F470" s="2" cm="1">
        <f t="array" ref="F470">_xlfn.IFS(B470="Owner Surrender",E470,B470="Stray",E470+6,B470="Stray w/identification",E470+11,B470="Bite",E470+10,B470="Other",Blank)</f>
        <v>45799</v>
      </c>
      <c r="G470" s="2">
        <v>45800</v>
      </c>
      <c r="H470" s="5">
        <f t="shared" si="23"/>
        <v>7</v>
      </c>
      <c r="I470" s="5">
        <f t="shared" si="24"/>
        <v>1</v>
      </c>
      <c r="J470" s="2" t="s">
        <v>31</v>
      </c>
      <c r="K470" s="2" t="s">
        <v>587</v>
      </c>
      <c r="AD470" s="33" t="str">
        <f t="shared" si="25"/>
        <v>Friday</v>
      </c>
    </row>
    <row r="471" spans="1:30" x14ac:dyDescent="0.2">
      <c r="A471" s="3">
        <v>40436</v>
      </c>
      <c r="B471" s="2" t="s">
        <v>38</v>
      </c>
      <c r="C471" t="s">
        <v>7</v>
      </c>
      <c r="D471" t="s">
        <v>207</v>
      </c>
      <c r="E471" s="2">
        <v>45793</v>
      </c>
      <c r="F471" s="2" cm="1">
        <f t="array" ref="F471">_xlfn.IFS(B471="Owner Surrender",E471,B471="Stray",E471+6,B471="Stray w/identification",E471+11,B471="Bite",E471+10,B471="Other",Blank)</f>
        <v>45799</v>
      </c>
      <c r="G471" s="2">
        <v>45800</v>
      </c>
      <c r="H471" s="5">
        <f t="shared" si="23"/>
        <v>7</v>
      </c>
      <c r="I471" s="5">
        <f t="shared" si="24"/>
        <v>1</v>
      </c>
      <c r="J471" s="2" t="s">
        <v>31</v>
      </c>
      <c r="K471" s="2" t="s">
        <v>587</v>
      </c>
      <c r="AD471" s="33" t="str">
        <f t="shared" si="25"/>
        <v>Friday</v>
      </c>
    </row>
    <row r="472" spans="1:30" x14ac:dyDescent="0.2">
      <c r="A472" s="3">
        <v>40437</v>
      </c>
      <c r="B472" s="2" t="s">
        <v>38</v>
      </c>
      <c r="C472" t="s">
        <v>7</v>
      </c>
      <c r="D472" t="s">
        <v>208</v>
      </c>
      <c r="E472" s="2">
        <v>45793</v>
      </c>
      <c r="F472" s="2" cm="1">
        <f t="array" ref="F472">_xlfn.IFS(B472="Owner Surrender",E472,B472="Stray",E472+6,B472="Stray w/identification",E472+11,B472="Bite",E472+10,B472="Other",Blank)</f>
        <v>45799</v>
      </c>
      <c r="G472" s="2">
        <v>45800</v>
      </c>
      <c r="H472" s="5">
        <f t="shared" si="23"/>
        <v>7</v>
      </c>
      <c r="I472" s="5">
        <f t="shared" si="24"/>
        <v>1</v>
      </c>
      <c r="J472" s="2" t="s">
        <v>31</v>
      </c>
      <c r="K472" s="2" t="s">
        <v>587</v>
      </c>
      <c r="AD472" s="33" t="str">
        <f t="shared" si="25"/>
        <v>Friday</v>
      </c>
    </row>
    <row r="473" spans="1:30" x14ac:dyDescent="0.2">
      <c r="A473" s="3">
        <v>40438</v>
      </c>
      <c r="B473" s="2" t="s">
        <v>38</v>
      </c>
      <c r="C473" t="s">
        <v>7</v>
      </c>
      <c r="D473" t="s">
        <v>208</v>
      </c>
      <c r="E473" s="2">
        <v>45793</v>
      </c>
      <c r="F473" s="2" cm="1">
        <f t="array" ref="F473">_xlfn.IFS(B473="Owner Surrender",E473,B473="Stray",E473+6,B473="Stray w/identification",E473+11,B473="Bite",E473+10,B473="Other",Blank)</f>
        <v>45799</v>
      </c>
      <c r="G473" s="2">
        <v>45800</v>
      </c>
      <c r="H473" s="5">
        <f t="shared" si="23"/>
        <v>7</v>
      </c>
      <c r="I473" s="5">
        <f t="shared" si="24"/>
        <v>1</v>
      </c>
      <c r="J473" s="2" t="s">
        <v>31</v>
      </c>
      <c r="K473" s="2" t="s">
        <v>587</v>
      </c>
      <c r="AD473" s="33" t="str">
        <f t="shared" si="25"/>
        <v>Friday</v>
      </c>
    </row>
    <row r="474" spans="1:30" x14ac:dyDescent="0.2">
      <c r="A474" s="3">
        <v>40439</v>
      </c>
      <c r="B474" s="2" t="s">
        <v>38</v>
      </c>
      <c r="C474" t="s">
        <v>7</v>
      </c>
      <c r="D474" t="s">
        <v>208</v>
      </c>
      <c r="E474" s="2">
        <v>45793</v>
      </c>
      <c r="F474" s="2" cm="1">
        <f t="array" ref="F474">_xlfn.IFS(B474="Owner Surrender",E474,B474="Stray",E474+6,B474="Stray w/identification",E474+11,B474="Bite",E474+10,B474="Other",Blank)</f>
        <v>45799</v>
      </c>
      <c r="G474" s="2">
        <v>45800</v>
      </c>
      <c r="H474" s="5">
        <f t="shared" si="23"/>
        <v>7</v>
      </c>
      <c r="I474" s="5">
        <f t="shared" si="24"/>
        <v>1</v>
      </c>
      <c r="J474" s="2" t="s">
        <v>31</v>
      </c>
      <c r="K474" s="2" t="s">
        <v>587</v>
      </c>
      <c r="AD474" s="33" t="str">
        <f t="shared" si="25"/>
        <v>Friday</v>
      </c>
    </row>
    <row r="475" spans="1:30" x14ac:dyDescent="0.2">
      <c r="A475" s="3">
        <v>40440</v>
      </c>
      <c r="B475" s="2" t="s">
        <v>36</v>
      </c>
      <c r="C475" t="s">
        <v>7</v>
      </c>
      <c r="D475" t="s">
        <v>210</v>
      </c>
      <c r="E475" s="2">
        <v>45793</v>
      </c>
      <c r="F475" s="2" cm="1">
        <f t="array" ref="F475">_xlfn.IFS(B475="Owner Surrender",E475,B475="Stray",E475+6,B475="Stray w/identification",E475+11,B475="Bite",E475+10,B475="Other",Blank)</f>
        <v>45793</v>
      </c>
      <c r="G475" s="2">
        <v>45793</v>
      </c>
      <c r="H475" s="5">
        <f t="shared" si="23"/>
        <v>0</v>
      </c>
      <c r="I475" s="5">
        <f t="shared" si="24"/>
        <v>0</v>
      </c>
      <c r="J475" s="2" t="s">
        <v>31</v>
      </c>
      <c r="K475" s="2" t="s">
        <v>589</v>
      </c>
      <c r="M475" t="s">
        <v>395</v>
      </c>
      <c r="AD475" s="33" t="str">
        <f t="shared" si="25"/>
        <v>Friday</v>
      </c>
    </row>
    <row r="476" spans="1:30" x14ac:dyDescent="0.2">
      <c r="A476" s="3">
        <v>40441</v>
      </c>
      <c r="B476" s="2" t="s">
        <v>36</v>
      </c>
      <c r="C476" t="s">
        <v>7</v>
      </c>
      <c r="D476" t="s">
        <v>210</v>
      </c>
      <c r="E476" s="2">
        <v>45793</v>
      </c>
      <c r="F476" s="2" cm="1">
        <f t="array" ref="F476">_xlfn.IFS(B476="Owner Surrender",E476,B476="Stray",E476+6,B476="Stray w/identification",E476+11,B476="Bite",E476+10,B476="Other",Blank)</f>
        <v>45793</v>
      </c>
      <c r="G476" s="2">
        <v>45793</v>
      </c>
      <c r="H476" s="5">
        <f t="shared" si="23"/>
        <v>0</v>
      </c>
      <c r="I476" s="5">
        <f t="shared" si="24"/>
        <v>0</v>
      </c>
      <c r="J476" s="2" t="s">
        <v>31</v>
      </c>
      <c r="K476" s="2" t="s">
        <v>589</v>
      </c>
      <c r="M476" t="s">
        <v>395</v>
      </c>
      <c r="AD476" s="33" t="str">
        <f t="shared" si="25"/>
        <v>Friday</v>
      </c>
    </row>
    <row r="477" spans="1:30" x14ac:dyDescent="0.2">
      <c r="A477" s="3">
        <v>40442</v>
      </c>
      <c r="B477" s="2" t="s">
        <v>38</v>
      </c>
      <c r="C477" t="s">
        <v>7</v>
      </c>
      <c r="D477" t="s">
        <v>207</v>
      </c>
      <c r="E477" s="2">
        <v>45793</v>
      </c>
      <c r="F477" s="2" cm="1">
        <f t="array" ref="F477">_xlfn.IFS(B477="Owner Surrender",E477,B477="Stray",E477+6,B477="Stray w/identification",E477+11,B477="Bite",E477+10,B477="Other",Blank)</f>
        <v>45799</v>
      </c>
      <c r="G477" s="2">
        <v>45800</v>
      </c>
      <c r="H477" s="5">
        <f t="shared" si="23"/>
        <v>7</v>
      </c>
      <c r="I477" s="5">
        <f t="shared" si="24"/>
        <v>1</v>
      </c>
      <c r="J477" s="2" t="s">
        <v>31</v>
      </c>
      <c r="K477" s="2" t="s">
        <v>587</v>
      </c>
      <c r="AD477" s="33" t="str">
        <f t="shared" si="25"/>
        <v>Friday</v>
      </c>
    </row>
    <row r="478" spans="1:30" x14ac:dyDescent="0.2">
      <c r="A478" s="3">
        <v>40444</v>
      </c>
      <c r="B478" s="2" t="s">
        <v>38</v>
      </c>
      <c r="C478" t="s">
        <v>7</v>
      </c>
      <c r="D478" t="s">
        <v>208</v>
      </c>
      <c r="E478" s="2">
        <v>45794</v>
      </c>
      <c r="F478" s="2" cm="1">
        <f t="array" ref="F478">_xlfn.IFS(B478="Owner Surrender",E478,B478="Stray",E478+6,B478="Stray w/identification",E478+11,B478="Bite",E478+10,B478="Other",Blank)</f>
        <v>45800</v>
      </c>
      <c r="G478" s="2">
        <v>45794</v>
      </c>
      <c r="H478" s="5">
        <f t="shared" si="23"/>
        <v>0</v>
      </c>
      <c r="I478" s="5">
        <f t="shared" si="24"/>
        <v>-6</v>
      </c>
      <c r="J478" s="2" t="s">
        <v>31</v>
      </c>
      <c r="K478" s="2" t="s">
        <v>588</v>
      </c>
      <c r="M478" t="s">
        <v>394</v>
      </c>
      <c r="AD478" s="33" t="str">
        <f t="shared" si="25"/>
        <v>Saturday</v>
      </c>
    </row>
    <row r="479" spans="1:30" x14ac:dyDescent="0.2">
      <c r="A479" s="3">
        <v>40446</v>
      </c>
      <c r="B479" s="2" t="s">
        <v>38</v>
      </c>
      <c r="C479" t="s">
        <v>7</v>
      </c>
      <c r="D479" t="s">
        <v>207</v>
      </c>
      <c r="E479" s="2">
        <v>45794</v>
      </c>
      <c r="F479" s="2" cm="1">
        <f t="array" ref="F479">_xlfn.IFS(B479="Owner Surrender",E479,B479="Stray",E479+6,B479="Stray w/identification",E479+11,B479="Bite",E479+10,B479="Other",Blank)</f>
        <v>45800</v>
      </c>
      <c r="G479" s="2">
        <v>45794</v>
      </c>
      <c r="H479" s="5">
        <f t="shared" si="23"/>
        <v>0</v>
      </c>
      <c r="I479" s="5">
        <f t="shared" si="24"/>
        <v>-6</v>
      </c>
      <c r="J479" s="2" t="s">
        <v>31</v>
      </c>
      <c r="K479" s="2" t="s">
        <v>588</v>
      </c>
      <c r="M479" t="s">
        <v>393</v>
      </c>
      <c r="AD479" s="33" t="str">
        <f t="shared" si="25"/>
        <v>Saturday</v>
      </c>
    </row>
    <row r="480" spans="1:30" x14ac:dyDescent="0.2">
      <c r="A480" s="3">
        <v>40447</v>
      </c>
      <c r="B480" s="2" t="s">
        <v>38</v>
      </c>
      <c r="C480" t="s">
        <v>7</v>
      </c>
      <c r="D480" t="s">
        <v>207</v>
      </c>
      <c r="E480" s="2">
        <v>45795</v>
      </c>
      <c r="F480" s="2" cm="1">
        <f t="array" ref="F480">_xlfn.IFS(B480="Owner Surrender",E480,B480="Stray",E480+6,B480="Stray w/identification",E480+11,B480="Bite",E480+10,B480="Other",Blank)</f>
        <v>45801</v>
      </c>
      <c r="G480" s="2">
        <v>45796</v>
      </c>
      <c r="H480" s="5">
        <f t="shared" si="23"/>
        <v>1</v>
      </c>
      <c r="I480" s="5">
        <f t="shared" si="24"/>
        <v>-5</v>
      </c>
      <c r="J480" s="2" t="s">
        <v>31</v>
      </c>
      <c r="K480" s="2" t="s">
        <v>588</v>
      </c>
      <c r="M480" t="s">
        <v>166</v>
      </c>
      <c r="AD480" s="33" t="str">
        <f t="shared" si="25"/>
        <v>Monday</v>
      </c>
    </row>
    <row r="481" spans="1:30" x14ac:dyDescent="0.2">
      <c r="A481" s="3">
        <v>40451</v>
      </c>
      <c r="B481" s="2" t="s">
        <v>38</v>
      </c>
      <c r="C481" t="s">
        <v>7</v>
      </c>
      <c r="D481" t="s">
        <v>208</v>
      </c>
      <c r="E481" s="2">
        <v>45795</v>
      </c>
      <c r="F481" s="2" cm="1">
        <f t="array" ref="F481">_xlfn.IFS(B481="Owner Surrender",E481,B481="Stray",E481+6,B481="Stray w/identification",E481+11,B481="Bite",E481+10,B481="Other",Blank)</f>
        <v>45801</v>
      </c>
      <c r="G481" s="2">
        <v>45804</v>
      </c>
      <c r="H481" s="5">
        <f t="shared" si="23"/>
        <v>9</v>
      </c>
      <c r="I481" s="5">
        <f t="shared" si="24"/>
        <v>3</v>
      </c>
      <c r="J481" s="2" t="s">
        <v>31</v>
      </c>
      <c r="K481" s="2" t="s">
        <v>587</v>
      </c>
      <c r="M481" t="s">
        <v>392</v>
      </c>
      <c r="AD481" s="33" t="str">
        <f t="shared" si="25"/>
        <v>Tuesday</v>
      </c>
    </row>
    <row r="482" spans="1:30" x14ac:dyDescent="0.2">
      <c r="A482" s="3">
        <v>40452</v>
      </c>
      <c r="B482" s="2" t="s">
        <v>38</v>
      </c>
      <c r="C482" t="s">
        <v>7</v>
      </c>
      <c r="D482" t="s">
        <v>208</v>
      </c>
      <c r="E482" s="2">
        <v>45795</v>
      </c>
      <c r="F482" s="2" cm="1">
        <f t="array" ref="F482">_xlfn.IFS(B482="Owner Surrender",E482,B482="Stray",E482+6,B482="Stray w/identification",E482+11,B482="Bite",E482+10,B482="Other",Blank)</f>
        <v>45801</v>
      </c>
      <c r="G482" s="2">
        <v>45804</v>
      </c>
      <c r="H482" s="5">
        <f t="shared" si="23"/>
        <v>9</v>
      </c>
      <c r="I482" s="5">
        <f t="shared" si="24"/>
        <v>3</v>
      </c>
      <c r="J482" s="2" t="s">
        <v>31</v>
      </c>
      <c r="K482" s="2" t="s">
        <v>587</v>
      </c>
      <c r="M482" t="s">
        <v>392</v>
      </c>
      <c r="AD482" s="33" t="str">
        <f t="shared" si="25"/>
        <v>Tuesday</v>
      </c>
    </row>
    <row r="483" spans="1:30" x14ac:dyDescent="0.2">
      <c r="A483" s="3">
        <v>40454</v>
      </c>
      <c r="B483" s="2" t="s">
        <v>36</v>
      </c>
      <c r="C483" t="s">
        <v>7</v>
      </c>
      <c r="D483" t="s">
        <v>207</v>
      </c>
      <c r="E483" s="2">
        <v>45796</v>
      </c>
      <c r="F483" s="2" cm="1">
        <f t="array" ref="F483">_xlfn.IFS(B483="Owner Surrender",E483,B483="Stray",E483+6,B483="Stray w/identification",E483+11,B483="Bite",E483+10,B483="Other",Blank)</f>
        <v>45796</v>
      </c>
      <c r="G483" s="2">
        <v>45797</v>
      </c>
      <c r="H483" s="5">
        <f t="shared" si="23"/>
        <v>1</v>
      </c>
      <c r="I483" s="5">
        <f t="shared" si="24"/>
        <v>1</v>
      </c>
      <c r="J483" s="2" t="s">
        <v>31</v>
      </c>
      <c r="K483" s="2" t="s">
        <v>587</v>
      </c>
      <c r="L483" t="s">
        <v>305</v>
      </c>
      <c r="AD483" s="33" t="str">
        <f t="shared" si="25"/>
        <v>Tuesday</v>
      </c>
    </row>
    <row r="484" spans="1:30" x14ac:dyDescent="0.2">
      <c r="A484" s="3">
        <v>40455</v>
      </c>
      <c r="B484" s="2" t="s">
        <v>36</v>
      </c>
      <c r="C484" t="s">
        <v>7</v>
      </c>
      <c r="D484" t="s">
        <v>210</v>
      </c>
      <c r="E484" s="2">
        <v>45796</v>
      </c>
      <c r="F484" s="2" cm="1">
        <f t="array" ref="F484">_xlfn.IFS(B484="Owner Surrender",E484,B484="Stray",E484+6,B484="Stray w/identification",E484+11,B484="Bite",E484+10,B484="Other",Blank)</f>
        <v>45796</v>
      </c>
      <c r="G484" s="2">
        <v>45797</v>
      </c>
      <c r="H484" s="5">
        <f t="shared" si="23"/>
        <v>1</v>
      </c>
      <c r="I484" s="5">
        <f t="shared" si="24"/>
        <v>1</v>
      </c>
      <c r="J484" s="2" t="s">
        <v>31</v>
      </c>
      <c r="K484" s="2" t="s">
        <v>587</v>
      </c>
      <c r="L484" t="s">
        <v>391</v>
      </c>
      <c r="AD484" s="33" t="str">
        <f t="shared" si="25"/>
        <v>Tuesday</v>
      </c>
    </row>
    <row r="485" spans="1:30" x14ac:dyDescent="0.2">
      <c r="A485" s="3">
        <v>40456</v>
      </c>
      <c r="B485" s="2" t="s">
        <v>36</v>
      </c>
      <c r="C485" t="s">
        <v>7</v>
      </c>
      <c r="D485" t="s">
        <v>207</v>
      </c>
      <c r="E485" s="2">
        <v>45796</v>
      </c>
      <c r="F485" s="2" cm="1">
        <f t="array" ref="F485">_xlfn.IFS(B485="Owner Surrender",E485,B485="Stray",E485+6,B485="Stray w/identification",E485+11,B485="Bite",E485+10,B485="Other",Blank)</f>
        <v>45796</v>
      </c>
      <c r="G485" s="2">
        <v>45797</v>
      </c>
      <c r="H485" s="5">
        <f t="shared" si="23"/>
        <v>1</v>
      </c>
      <c r="I485" s="5">
        <f t="shared" si="24"/>
        <v>1</v>
      </c>
      <c r="J485" s="2" t="s">
        <v>18</v>
      </c>
      <c r="K485" s="2" t="s">
        <v>586</v>
      </c>
      <c r="L485" t="s">
        <v>390</v>
      </c>
      <c r="AD485" s="33" t="str">
        <f t="shared" si="25"/>
        <v>Tuesday</v>
      </c>
    </row>
    <row r="486" spans="1:30" x14ac:dyDescent="0.2">
      <c r="A486" s="3">
        <v>40457</v>
      </c>
      <c r="B486" s="2" t="s">
        <v>36</v>
      </c>
      <c r="C486" t="s">
        <v>7</v>
      </c>
      <c r="D486" t="s">
        <v>208</v>
      </c>
      <c r="E486" s="2">
        <v>45796</v>
      </c>
      <c r="F486" s="2" cm="1">
        <f t="array" ref="F486">_xlfn.IFS(B486="Owner Surrender",E486,B486="Stray",E486+6,B486="Stray w/identification",E486+11,B486="Bite",E486+10,B486="Other",Blank)</f>
        <v>45796</v>
      </c>
      <c r="G486" s="2">
        <v>45797</v>
      </c>
      <c r="H486" s="5">
        <f t="shared" si="23"/>
        <v>1</v>
      </c>
      <c r="I486" s="5">
        <f t="shared" si="24"/>
        <v>1</v>
      </c>
      <c r="J486" s="2" t="s">
        <v>18</v>
      </c>
      <c r="K486" s="2" t="s">
        <v>586</v>
      </c>
      <c r="AD486" s="33" t="str">
        <f t="shared" si="25"/>
        <v>Tuesday</v>
      </c>
    </row>
    <row r="487" spans="1:30" x14ac:dyDescent="0.2">
      <c r="A487" s="3">
        <v>40458</v>
      </c>
      <c r="B487" s="2" t="s">
        <v>36</v>
      </c>
      <c r="C487" t="s">
        <v>7</v>
      </c>
      <c r="D487" t="s">
        <v>208</v>
      </c>
      <c r="E487" s="2">
        <v>45796</v>
      </c>
      <c r="F487" s="2" cm="1">
        <f t="array" ref="F487">_xlfn.IFS(B487="Owner Surrender",E487,B487="Stray",E487+6,B487="Stray w/identification",E487+11,B487="Bite",E487+10,B487="Other",Blank)</f>
        <v>45796</v>
      </c>
      <c r="G487" s="2">
        <v>45797</v>
      </c>
      <c r="H487" s="5">
        <f t="shared" ref="H487:H550" si="26">+G487-E487</f>
        <v>1</v>
      </c>
      <c r="I487" s="5">
        <f t="shared" si="24"/>
        <v>1</v>
      </c>
      <c r="J487" s="2" t="s">
        <v>18</v>
      </c>
      <c r="K487" s="2" t="s">
        <v>586</v>
      </c>
      <c r="L487" t="s">
        <v>389</v>
      </c>
      <c r="AD487" s="33" t="str">
        <f t="shared" si="25"/>
        <v>Tuesday</v>
      </c>
    </row>
    <row r="488" spans="1:30" x14ac:dyDescent="0.2">
      <c r="A488" s="3">
        <v>40459</v>
      </c>
      <c r="B488" s="2" t="s">
        <v>36</v>
      </c>
      <c r="C488" t="s">
        <v>7</v>
      </c>
      <c r="D488" t="s">
        <v>208</v>
      </c>
      <c r="E488" s="2">
        <v>45796</v>
      </c>
      <c r="F488" s="2" cm="1">
        <f t="array" ref="F488">_xlfn.IFS(B488="Owner Surrender",E488,B488="Stray",E488+6,B488="Stray w/identification",E488+11,B488="Bite",E488+10,B488="Other",Blank)</f>
        <v>45796</v>
      </c>
      <c r="G488" s="2">
        <v>45797</v>
      </c>
      <c r="H488" s="5">
        <f t="shared" si="26"/>
        <v>1</v>
      </c>
      <c r="I488" s="5">
        <f t="shared" si="24"/>
        <v>1</v>
      </c>
      <c r="J488" s="2" t="s">
        <v>18</v>
      </c>
      <c r="K488" s="2" t="s">
        <v>586</v>
      </c>
      <c r="AD488" s="33" t="str">
        <f t="shared" si="25"/>
        <v>Tuesday</v>
      </c>
    </row>
    <row r="489" spans="1:30" x14ac:dyDescent="0.2">
      <c r="A489" s="3">
        <v>40464</v>
      </c>
      <c r="B489" s="2" t="s">
        <v>36</v>
      </c>
      <c r="C489" t="s">
        <v>7</v>
      </c>
      <c r="D489" t="s">
        <v>207</v>
      </c>
      <c r="E489" s="2">
        <v>45797</v>
      </c>
      <c r="F489" s="2" cm="1">
        <f t="array" ref="F489">_xlfn.IFS(B489="Owner Surrender",E489,B489="Stray",E489+6,B489="Stray w/identification",E489+11,B489="Bite",E489+10,B489="Other",Blank)</f>
        <v>45797</v>
      </c>
      <c r="G489" s="2">
        <v>45799</v>
      </c>
      <c r="H489" s="5">
        <f t="shared" si="26"/>
        <v>2</v>
      </c>
      <c r="I489" s="5">
        <f t="shared" ref="I489:I552" si="27">G489-F489</f>
        <v>2</v>
      </c>
      <c r="J489" s="2" t="s">
        <v>31</v>
      </c>
      <c r="K489" s="2" t="s">
        <v>587</v>
      </c>
      <c r="L489" t="s">
        <v>388</v>
      </c>
      <c r="M489" t="s">
        <v>387</v>
      </c>
      <c r="AD489" s="33" t="str">
        <f t="shared" si="25"/>
        <v>Thursday</v>
      </c>
    </row>
    <row r="490" spans="1:30" x14ac:dyDescent="0.2">
      <c r="A490" s="3">
        <v>40465</v>
      </c>
      <c r="B490" s="2" t="s">
        <v>36</v>
      </c>
      <c r="C490" t="s">
        <v>7</v>
      </c>
      <c r="D490" t="s">
        <v>208</v>
      </c>
      <c r="E490" s="2">
        <v>45797</v>
      </c>
      <c r="F490" s="2" cm="1">
        <f t="array" ref="F490">_xlfn.IFS(B490="Owner Surrender",E490,B490="Stray",E490+6,B490="Stray w/identification",E490+11,B490="Bite",E490+10,B490="Other",Blank)</f>
        <v>45797</v>
      </c>
      <c r="G490" s="2">
        <v>45834</v>
      </c>
      <c r="H490" s="5">
        <f t="shared" si="26"/>
        <v>37</v>
      </c>
      <c r="I490" s="5">
        <f t="shared" si="27"/>
        <v>37</v>
      </c>
      <c r="J490" s="2" t="s">
        <v>31</v>
      </c>
      <c r="K490" s="2" t="s">
        <v>587</v>
      </c>
      <c r="AD490" s="33" t="str">
        <f t="shared" si="25"/>
        <v>Thursday</v>
      </c>
    </row>
    <row r="491" spans="1:30" x14ac:dyDescent="0.2">
      <c r="A491" s="3">
        <v>40466</v>
      </c>
      <c r="B491" s="2" t="s">
        <v>36</v>
      </c>
      <c r="C491" t="s">
        <v>7</v>
      </c>
      <c r="D491" t="s">
        <v>208</v>
      </c>
      <c r="E491" s="2">
        <v>45797</v>
      </c>
      <c r="F491" s="2" cm="1">
        <f t="array" ref="F491">_xlfn.IFS(B491="Owner Surrender",E491,B491="Stray",E491+6,B491="Stray w/identification",E491+11,B491="Bite",E491+10,B491="Other",Blank)</f>
        <v>45797</v>
      </c>
      <c r="G491" s="2">
        <v>45834</v>
      </c>
      <c r="H491" s="5">
        <f t="shared" si="26"/>
        <v>37</v>
      </c>
      <c r="I491" s="5">
        <f t="shared" si="27"/>
        <v>37</v>
      </c>
      <c r="J491" s="2" t="s">
        <v>31</v>
      </c>
      <c r="K491" s="2" t="s">
        <v>587</v>
      </c>
      <c r="AD491" s="33" t="str">
        <f t="shared" si="25"/>
        <v>Thursday</v>
      </c>
    </row>
    <row r="492" spans="1:30" x14ac:dyDescent="0.2">
      <c r="A492" s="3">
        <v>40467</v>
      </c>
      <c r="B492" s="2" t="s">
        <v>36</v>
      </c>
      <c r="C492" t="s">
        <v>7</v>
      </c>
      <c r="D492" t="s">
        <v>208</v>
      </c>
      <c r="E492" s="2">
        <v>45797</v>
      </c>
      <c r="F492" s="2" cm="1">
        <f t="array" ref="F492">_xlfn.IFS(B492="Owner Surrender",E492,B492="Stray",E492+6,B492="Stray w/identification",E492+11,B492="Bite",E492+10,B492="Other",Blank)</f>
        <v>45797</v>
      </c>
      <c r="G492" s="2">
        <v>45834</v>
      </c>
      <c r="H492" s="5">
        <f t="shared" si="26"/>
        <v>37</v>
      </c>
      <c r="I492" s="5">
        <f t="shared" si="27"/>
        <v>37</v>
      </c>
      <c r="J492" s="2" t="s">
        <v>31</v>
      </c>
      <c r="K492" s="2" t="s">
        <v>587</v>
      </c>
      <c r="AD492" s="33" t="str">
        <f t="shared" si="25"/>
        <v>Thursday</v>
      </c>
    </row>
    <row r="493" spans="1:30" x14ac:dyDescent="0.2">
      <c r="A493" s="3">
        <v>40470</v>
      </c>
      <c r="B493" s="2" t="s">
        <v>36</v>
      </c>
      <c r="C493" t="s">
        <v>7</v>
      </c>
      <c r="D493" t="s">
        <v>208</v>
      </c>
      <c r="E493" s="2">
        <v>45797</v>
      </c>
      <c r="F493" s="2" cm="1">
        <f t="array" ref="F493">_xlfn.IFS(B493="Owner Surrender",E493,B493="Stray",E493+6,B493="Stray w/identification",E493+11,B493="Bite",E493+10,B493="Other",Blank)</f>
        <v>45797</v>
      </c>
      <c r="G493" s="2">
        <v>45804</v>
      </c>
      <c r="H493" s="5">
        <f t="shared" si="26"/>
        <v>7</v>
      </c>
      <c r="I493" s="5">
        <f t="shared" si="27"/>
        <v>7</v>
      </c>
      <c r="J493" s="2" t="s">
        <v>31</v>
      </c>
      <c r="K493" s="2" t="s">
        <v>587</v>
      </c>
      <c r="M493" t="s">
        <v>387</v>
      </c>
      <c r="AD493" s="33" t="str">
        <f t="shared" si="25"/>
        <v>Tuesday</v>
      </c>
    </row>
    <row r="494" spans="1:30" x14ac:dyDescent="0.2">
      <c r="A494" s="3">
        <v>40471</v>
      </c>
      <c r="B494" s="2" t="s">
        <v>36</v>
      </c>
      <c r="C494" t="s">
        <v>7</v>
      </c>
      <c r="D494" t="s">
        <v>208</v>
      </c>
      <c r="E494" s="2">
        <v>45797</v>
      </c>
      <c r="F494" s="2" cm="1">
        <f t="array" ref="F494">_xlfn.IFS(B494="Owner Surrender",E494,B494="Stray",E494+6,B494="Stray w/identification",E494+11,B494="Bite",E494+10,B494="Other",Blank)</f>
        <v>45797</v>
      </c>
      <c r="G494" s="2">
        <v>45804</v>
      </c>
      <c r="H494" s="5">
        <f t="shared" si="26"/>
        <v>7</v>
      </c>
      <c r="I494" s="5">
        <f t="shared" si="27"/>
        <v>7</v>
      </c>
      <c r="J494" s="2" t="s">
        <v>31</v>
      </c>
      <c r="K494" s="2" t="s">
        <v>587</v>
      </c>
      <c r="M494" t="s">
        <v>387</v>
      </c>
      <c r="AD494" s="33" t="str">
        <f t="shared" si="25"/>
        <v>Tuesday</v>
      </c>
    </row>
    <row r="495" spans="1:30" x14ac:dyDescent="0.2">
      <c r="A495" s="3">
        <v>40472</v>
      </c>
      <c r="B495" s="2" t="s">
        <v>36</v>
      </c>
      <c r="C495" t="s">
        <v>7</v>
      </c>
      <c r="D495" t="s">
        <v>208</v>
      </c>
      <c r="E495" s="2">
        <v>45797</v>
      </c>
      <c r="F495" s="2" cm="1">
        <f t="array" ref="F495">_xlfn.IFS(B495="Owner Surrender",E495,B495="Stray",E495+6,B495="Stray w/identification",E495+11,B495="Bite",E495+10,B495="Other",Blank)</f>
        <v>45797</v>
      </c>
      <c r="G495" s="2">
        <v>45804</v>
      </c>
      <c r="H495" s="5">
        <f t="shared" si="26"/>
        <v>7</v>
      </c>
      <c r="I495" s="5">
        <f t="shared" si="27"/>
        <v>7</v>
      </c>
      <c r="J495" s="2" t="s">
        <v>31</v>
      </c>
      <c r="K495" s="2" t="s">
        <v>587</v>
      </c>
      <c r="M495" t="s">
        <v>387</v>
      </c>
      <c r="AD495" s="33" t="str">
        <f t="shared" si="25"/>
        <v>Tuesday</v>
      </c>
    </row>
    <row r="496" spans="1:30" x14ac:dyDescent="0.2">
      <c r="A496" s="3">
        <v>40473</v>
      </c>
      <c r="B496" s="2" t="s">
        <v>36</v>
      </c>
      <c r="C496" t="s">
        <v>7</v>
      </c>
      <c r="D496" t="s">
        <v>207</v>
      </c>
      <c r="E496" s="2">
        <v>45797</v>
      </c>
      <c r="F496" s="2" cm="1">
        <f t="array" ref="F496">_xlfn.IFS(B496="Owner Surrender",E496,B496="Stray",E496+6,B496="Stray w/identification",E496+11,B496="Bite",E496+10,B496="Other",Blank)</f>
        <v>45797</v>
      </c>
      <c r="G496" s="2">
        <v>45804</v>
      </c>
      <c r="H496" s="5">
        <f t="shared" si="26"/>
        <v>7</v>
      </c>
      <c r="I496" s="5">
        <f t="shared" si="27"/>
        <v>7</v>
      </c>
      <c r="J496" s="2" t="s">
        <v>31</v>
      </c>
      <c r="K496" s="2" t="s">
        <v>587</v>
      </c>
      <c r="AD496" s="33" t="str">
        <f t="shared" si="25"/>
        <v>Tuesday</v>
      </c>
    </row>
    <row r="497" spans="1:30" x14ac:dyDescent="0.2">
      <c r="A497" s="3">
        <v>40476</v>
      </c>
      <c r="B497" s="2" t="s">
        <v>38</v>
      </c>
      <c r="C497" t="s">
        <v>10</v>
      </c>
      <c r="D497" t="s">
        <v>208</v>
      </c>
      <c r="E497" s="2">
        <v>45798</v>
      </c>
      <c r="F497" s="2" cm="1">
        <f t="array" ref="F497">_xlfn.IFS(B497="Owner Surrender",E497,B497="Stray",E497+6,B497="Stray w/identification",E497+11,B497="Bite",E497+10,B497="Other",Blank)</f>
        <v>45804</v>
      </c>
      <c r="G497" s="2">
        <v>45798</v>
      </c>
      <c r="H497" s="5">
        <f t="shared" si="26"/>
        <v>0</v>
      </c>
      <c r="I497" s="5">
        <f t="shared" si="27"/>
        <v>-6</v>
      </c>
      <c r="J497" s="2" t="s">
        <v>31</v>
      </c>
      <c r="K497" s="2" t="s">
        <v>143</v>
      </c>
      <c r="M497" t="s">
        <v>46</v>
      </c>
      <c r="AD497" s="33" t="str">
        <f t="shared" si="25"/>
        <v>Wednesday</v>
      </c>
    </row>
    <row r="498" spans="1:30" x14ac:dyDescent="0.2">
      <c r="A498" s="3">
        <v>40477</v>
      </c>
      <c r="B498" s="2" t="s">
        <v>38</v>
      </c>
      <c r="C498" t="s">
        <v>10</v>
      </c>
      <c r="D498" t="s">
        <v>208</v>
      </c>
      <c r="E498" s="2">
        <v>45798</v>
      </c>
      <c r="F498" s="2" cm="1">
        <f t="array" ref="F498">_xlfn.IFS(B498="Owner Surrender",E498,B498="Stray",E498+6,B498="Stray w/identification",E498+11,B498="Bite",E498+10,B498="Other",Blank)</f>
        <v>45804</v>
      </c>
      <c r="G498" s="2">
        <v>45798</v>
      </c>
      <c r="H498" s="5">
        <f t="shared" si="26"/>
        <v>0</v>
      </c>
      <c r="I498" s="5">
        <f t="shared" si="27"/>
        <v>-6</v>
      </c>
      <c r="J498" s="2" t="s">
        <v>31</v>
      </c>
      <c r="K498" s="2" t="s">
        <v>143</v>
      </c>
      <c r="M498" t="s">
        <v>46</v>
      </c>
      <c r="AD498" s="33" t="str">
        <f t="shared" si="25"/>
        <v>Wednesday</v>
      </c>
    </row>
    <row r="499" spans="1:30" x14ac:dyDescent="0.2">
      <c r="A499" s="3">
        <v>40478</v>
      </c>
      <c r="B499" s="2" t="s">
        <v>38</v>
      </c>
      <c r="C499" t="s">
        <v>7</v>
      </c>
      <c r="D499" t="s">
        <v>207</v>
      </c>
      <c r="E499" s="2">
        <v>45797</v>
      </c>
      <c r="F499" s="2" cm="1">
        <f t="array" ref="F499">_xlfn.IFS(B499="Owner Surrender",E499,B499="Stray",E499+6,B499="Stray w/identification",E499+11,B499="Bite",E499+10,B499="Other",Blank)</f>
        <v>45803</v>
      </c>
      <c r="G499" s="2">
        <v>45804</v>
      </c>
      <c r="H499" s="5">
        <f t="shared" si="26"/>
        <v>7</v>
      </c>
      <c r="I499" s="5">
        <f t="shared" si="27"/>
        <v>1</v>
      </c>
      <c r="J499" s="2" t="s">
        <v>31</v>
      </c>
      <c r="K499" s="2" t="s">
        <v>587</v>
      </c>
      <c r="M499" t="s">
        <v>34</v>
      </c>
      <c r="AD499" s="33" t="str">
        <f t="shared" si="25"/>
        <v>Tuesday</v>
      </c>
    </row>
    <row r="500" spans="1:30" x14ac:dyDescent="0.2">
      <c r="A500" s="3">
        <v>40479</v>
      </c>
      <c r="B500" s="2" t="s">
        <v>38</v>
      </c>
      <c r="C500" t="s">
        <v>7</v>
      </c>
      <c r="D500" t="s">
        <v>208</v>
      </c>
      <c r="E500" s="2">
        <v>45797</v>
      </c>
      <c r="F500" s="2" cm="1">
        <f t="array" ref="F500">_xlfn.IFS(B500="Owner Surrender",E500,B500="Stray",E500+6,B500="Stray w/identification",E500+11,B500="Bite",E500+10,B500="Other",Blank)</f>
        <v>45803</v>
      </c>
      <c r="G500" s="2">
        <v>45841</v>
      </c>
      <c r="H500" s="5">
        <f t="shared" si="26"/>
        <v>44</v>
      </c>
      <c r="I500" s="5">
        <f t="shared" si="27"/>
        <v>38</v>
      </c>
      <c r="J500" s="2" t="s">
        <v>31</v>
      </c>
      <c r="K500" s="2" t="s">
        <v>587</v>
      </c>
      <c r="M500" t="s">
        <v>34</v>
      </c>
      <c r="AD500" s="33" t="str">
        <f t="shared" si="25"/>
        <v>Thursday</v>
      </c>
    </row>
    <row r="501" spans="1:30" x14ac:dyDescent="0.2">
      <c r="A501" s="3">
        <v>40481</v>
      </c>
      <c r="B501" s="2" t="s">
        <v>36</v>
      </c>
      <c r="C501" t="s">
        <v>7</v>
      </c>
      <c r="D501" t="s">
        <v>208</v>
      </c>
      <c r="E501" s="2">
        <v>45798</v>
      </c>
      <c r="F501" s="2" cm="1">
        <f t="array" ref="F501">_xlfn.IFS(B501="Owner Surrender",E501,B501="Stray",E501+6,B501="Stray w/identification",E501+11,B501="Bite",E501+10,B501="Other",Blank)</f>
        <v>45798</v>
      </c>
      <c r="G501" s="2">
        <v>45812</v>
      </c>
      <c r="H501" s="5">
        <f t="shared" si="26"/>
        <v>14</v>
      </c>
      <c r="I501" s="5">
        <f t="shared" si="27"/>
        <v>14</v>
      </c>
      <c r="J501" s="2" t="s">
        <v>31</v>
      </c>
      <c r="K501" s="2" t="s">
        <v>587</v>
      </c>
      <c r="AD501" s="33" t="str">
        <f t="shared" si="25"/>
        <v>Wednesday</v>
      </c>
    </row>
    <row r="502" spans="1:30" x14ac:dyDescent="0.2">
      <c r="A502" s="3">
        <v>40482</v>
      </c>
      <c r="B502" s="2" t="s">
        <v>36</v>
      </c>
      <c r="C502" t="s">
        <v>7</v>
      </c>
      <c r="D502" t="s">
        <v>208</v>
      </c>
      <c r="E502" s="2">
        <v>45798</v>
      </c>
      <c r="F502" s="2" cm="1">
        <f t="array" ref="F502">_xlfn.IFS(B502="Owner Surrender",E502,B502="Stray",E502+6,B502="Stray w/identification",E502+11,B502="Bite",E502+10,B502="Other",Blank)</f>
        <v>45798</v>
      </c>
      <c r="G502" s="2">
        <v>45812</v>
      </c>
      <c r="H502" s="5">
        <f t="shared" si="26"/>
        <v>14</v>
      </c>
      <c r="I502" s="5">
        <f t="shared" si="27"/>
        <v>14</v>
      </c>
      <c r="J502" s="2" t="s">
        <v>31</v>
      </c>
      <c r="K502" s="2" t="s">
        <v>587</v>
      </c>
      <c r="AD502" s="33" t="str">
        <f t="shared" si="25"/>
        <v>Wednesday</v>
      </c>
    </row>
    <row r="503" spans="1:30" x14ac:dyDescent="0.2">
      <c r="A503" s="3">
        <v>40483</v>
      </c>
      <c r="B503" s="2" t="s">
        <v>36</v>
      </c>
      <c r="C503" t="s">
        <v>7</v>
      </c>
      <c r="D503" t="s">
        <v>208</v>
      </c>
      <c r="E503" s="2">
        <v>45798</v>
      </c>
      <c r="F503" s="2" cm="1">
        <f t="array" ref="F503">_xlfn.IFS(B503="Owner Surrender",E503,B503="Stray",E503+6,B503="Stray w/identification",E503+11,B503="Bite",E503+10,B503="Other",Blank)</f>
        <v>45798</v>
      </c>
      <c r="G503" s="2">
        <v>45812</v>
      </c>
      <c r="H503" s="5">
        <f t="shared" si="26"/>
        <v>14</v>
      </c>
      <c r="I503" s="5">
        <f t="shared" si="27"/>
        <v>14</v>
      </c>
      <c r="J503" s="2" t="s">
        <v>31</v>
      </c>
      <c r="K503" s="2" t="s">
        <v>587</v>
      </c>
      <c r="AD503" s="33" t="str">
        <f t="shared" si="25"/>
        <v>Wednesday</v>
      </c>
    </row>
    <row r="504" spans="1:30" x14ac:dyDescent="0.2">
      <c r="A504" s="3">
        <v>40484</v>
      </c>
      <c r="B504" s="2" t="s">
        <v>36</v>
      </c>
      <c r="C504" t="s">
        <v>7</v>
      </c>
      <c r="D504" t="s">
        <v>208</v>
      </c>
      <c r="E504" s="2">
        <v>45798</v>
      </c>
      <c r="F504" s="2" cm="1">
        <f t="array" ref="F504">_xlfn.IFS(B504="Owner Surrender",E504,B504="Stray",E504+6,B504="Stray w/identification",E504+11,B504="Bite",E504+10,B504="Other",Blank)</f>
        <v>45798</v>
      </c>
      <c r="G504" s="2">
        <v>45812</v>
      </c>
      <c r="H504" s="5">
        <f t="shared" si="26"/>
        <v>14</v>
      </c>
      <c r="I504" s="5">
        <f t="shared" si="27"/>
        <v>14</v>
      </c>
      <c r="J504" s="2" t="s">
        <v>31</v>
      </c>
      <c r="K504" s="2" t="s">
        <v>587</v>
      </c>
      <c r="AD504" s="33" t="str">
        <f t="shared" si="25"/>
        <v>Wednesday</v>
      </c>
    </row>
    <row r="505" spans="1:30" x14ac:dyDescent="0.2">
      <c r="A505" s="3">
        <v>40485</v>
      </c>
      <c r="B505" s="2" t="s">
        <v>36</v>
      </c>
      <c r="C505" t="s">
        <v>7</v>
      </c>
      <c r="D505" t="s">
        <v>207</v>
      </c>
      <c r="E505" s="2">
        <v>45798</v>
      </c>
      <c r="F505" s="2" cm="1">
        <f t="array" ref="F505">_xlfn.IFS(B505="Owner Surrender",E505,B505="Stray",E505+6,B505="Stray w/identification",E505+11,B505="Bite",E505+10,B505="Other",Blank)</f>
        <v>45798</v>
      </c>
      <c r="G505" s="2">
        <v>45812</v>
      </c>
      <c r="H505" s="5">
        <f t="shared" si="26"/>
        <v>14</v>
      </c>
      <c r="I505" s="5">
        <f t="shared" si="27"/>
        <v>14</v>
      </c>
      <c r="J505" s="2" t="s">
        <v>31</v>
      </c>
      <c r="K505" s="2" t="s">
        <v>587</v>
      </c>
      <c r="L505" t="s">
        <v>402</v>
      </c>
      <c r="AD505" s="33" t="str">
        <f t="shared" si="25"/>
        <v>Wednesday</v>
      </c>
    </row>
    <row r="506" spans="1:30" x14ac:dyDescent="0.2">
      <c r="A506" s="3">
        <v>40489</v>
      </c>
      <c r="B506" s="2" t="s">
        <v>38</v>
      </c>
      <c r="C506" t="s">
        <v>10</v>
      </c>
      <c r="D506" t="s">
        <v>208</v>
      </c>
      <c r="E506" s="2">
        <v>45799</v>
      </c>
      <c r="F506" s="2" cm="1">
        <f t="array" ref="F506">_xlfn.IFS(B506="Owner Surrender",E506,B506="Stray",E506+6,B506="Stray w/identification",E506+11,B506="Bite",E506+10,B506="Other",Blank)</f>
        <v>45805</v>
      </c>
      <c r="G506" s="2">
        <v>45807</v>
      </c>
      <c r="H506" s="5">
        <f t="shared" si="26"/>
        <v>8</v>
      </c>
      <c r="I506" s="5">
        <f t="shared" si="27"/>
        <v>2</v>
      </c>
      <c r="J506" s="2" t="s">
        <v>31</v>
      </c>
      <c r="K506" s="2" t="s">
        <v>587</v>
      </c>
      <c r="AD506" s="33" t="str">
        <f t="shared" si="25"/>
        <v>Friday</v>
      </c>
    </row>
    <row r="507" spans="1:30" x14ac:dyDescent="0.2">
      <c r="A507" s="3">
        <v>40490</v>
      </c>
      <c r="B507" s="2" t="s">
        <v>38</v>
      </c>
      <c r="C507" t="s">
        <v>10</v>
      </c>
      <c r="D507" t="s">
        <v>208</v>
      </c>
      <c r="E507" s="2">
        <v>45799</v>
      </c>
      <c r="F507" s="2" cm="1">
        <f t="array" ref="F507">_xlfn.IFS(B507="Owner Surrender",E507,B507="Stray",E507+6,B507="Stray w/identification",E507+11,B507="Bite",E507+10,B507="Other",Blank)</f>
        <v>45805</v>
      </c>
      <c r="G507" s="2">
        <v>45807</v>
      </c>
      <c r="H507" s="5">
        <f t="shared" si="26"/>
        <v>8</v>
      </c>
      <c r="I507" s="5">
        <f t="shared" si="27"/>
        <v>2</v>
      </c>
      <c r="J507" s="2" t="s">
        <v>31</v>
      </c>
      <c r="K507" s="2" t="s">
        <v>587</v>
      </c>
      <c r="AD507" s="33" t="str">
        <f t="shared" si="25"/>
        <v>Friday</v>
      </c>
    </row>
    <row r="508" spans="1:30" x14ac:dyDescent="0.2">
      <c r="A508" s="3">
        <v>40491</v>
      </c>
      <c r="B508" s="2" t="s">
        <v>38</v>
      </c>
      <c r="C508" t="s">
        <v>7</v>
      </c>
      <c r="D508" t="s">
        <v>208</v>
      </c>
      <c r="E508" s="2">
        <v>45799</v>
      </c>
      <c r="F508" s="2" cm="1">
        <f t="array" ref="F508">_xlfn.IFS(B508="Owner Surrender",E508,B508="Stray",E508+6,B508="Stray w/identification",E508+11,B508="Bite",E508+10,B508="Other",Blank)</f>
        <v>45805</v>
      </c>
      <c r="G508" s="2">
        <v>45841</v>
      </c>
      <c r="H508" s="5">
        <f t="shared" si="26"/>
        <v>42</v>
      </c>
      <c r="I508" s="5">
        <f t="shared" si="27"/>
        <v>36</v>
      </c>
      <c r="J508" s="2" t="s">
        <v>31</v>
      </c>
      <c r="K508" s="2" t="s">
        <v>587</v>
      </c>
      <c r="AD508" s="33" t="str">
        <f t="shared" si="25"/>
        <v>Thursday</v>
      </c>
    </row>
    <row r="509" spans="1:30" x14ac:dyDescent="0.2">
      <c r="A509" s="3">
        <v>40492</v>
      </c>
      <c r="B509" s="2" t="s">
        <v>38</v>
      </c>
      <c r="C509" t="s">
        <v>7</v>
      </c>
      <c r="D509" t="s">
        <v>208</v>
      </c>
      <c r="E509" s="2">
        <v>45799</v>
      </c>
      <c r="F509" s="2" cm="1">
        <f t="array" ref="F509">_xlfn.IFS(B509="Owner Surrender",E509,B509="Stray",E509+6,B509="Stray w/identification",E509+11,B509="Bite",E509+10,B509="Other",Blank)</f>
        <v>45805</v>
      </c>
      <c r="G509" s="2">
        <v>45802</v>
      </c>
      <c r="H509" s="5">
        <f t="shared" si="26"/>
        <v>3</v>
      </c>
      <c r="I509" s="5">
        <f t="shared" si="27"/>
        <v>-3</v>
      </c>
      <c r="J509" s="2" t="s">
        <v>31</v>
      </c>
      <c r="K509" s="2" t="s">
        <v>587</v>
      </c>
      <c r="AD509" s="33" t="str">
        <f t="shared" si="25"/>
        <v>Sunday</v>
      </c>
    </row>
    <row r="510" spans="1:30" x14ac:dyDescent="0.2">
      <c r="A510" s="3">
        <v>40493</v>
      </c>
      <c r="B510" s="2" t="s">
        <v>38</v>
      </c>
      <c r="C510" t="s">
        <v>7</v>
      </c>
      <c r="D510" t="s">
        <v>208</v>
      </c>
      <c r="E510" s="2">
        <v>45799</v>
      </c>
      <c r="F510" s="2" cm="1">
        <f t="array" ref="F510">_xlfn.IFS(B510="Owner Surrender",E510,B510="Stray",E510+6,B510="Stray w/identification",E510+11,B510="Bite",E510+10,B510="Other",Blank)</f>
        <v>45805</v>
      </c>
      <c r="G510" s="2">
        <v>45807</v>
      </c>
      <c r="H510" s="5">
        <f t="shared" si="26"/>
        <v>8</v>
      </c>
      <c r="I510" s="5">
        <f t="shared" si="27"/>
        <v>2</v>
      </c>
      <c r="J510" s="2" t="s">
        <v>31</v>
      </c>
      <c r="K510" s="2" t="s">
        <v>587</v>
      </c>
      <c r="AD510" s="33" t="str">
        <f t="shared" si="25"/>
        <v>Friday</v>
      </c>
    </row>
    <row r="511" spans="1:30" x14ac:dyDescent="0.2">
      <c r="A511" s="3">
        <v>40495</v>
      </c>
      <c r="B511" s="2" t="s">
        <v>38</v>
      </c>
      <c r="C511" t="s">
        <v>7</v>
      </c>
      <c r="D511" t="s">
        <v>208</v>
      </c>
      <c r="E511" s="2">
        <v>45799</v>
      </c>
      <c r="F511" s="2" cm="1">
        <f t="array" ref="F511">_xlfn.IFS(B511="Owner Surrender",E511,B511="Stray",E511+6,B511="Stray w/identification",E511+11,B511="Bite",E511+10,B511="Other",Blank)</f>
        <v>45805</v>
      </c>
      <c r="G511" s="2">
        <v>45799</v>
      </c>
      <c r="H511" s="5">
        <f t="shared" si="26"/>
        <v>0</v>
      </c>
      <c r="I511" s="5">
        <f t="shared" si="27"/>
        <v>-6</v>
      </c>
      <c r="J511" s="2" t="s">
        <v>31</v>
      </c>
      <c r="K511" s="2" t="s">
        <v>588</v>
      </c>
      <c r="M511" t="s">
        <v>384</v>
      </c>
      <c r="AD511" s="33" t="str">
        <f t="shared" si="25"/>
        <v>Thursday</v>
      </c>
    </row>
    <row r="512" spans="1:30" x14ac:dyDescent="0.2">
      <c r="A512" s="3">
        <v>40498</v>
      </c>
      <c r="B512" s="2" t="s">
        <v>38</v>
      </c>
      <c r="C512" t="s">
        <v>7</v>
      </c>
      <c r="D512" t="s">
        <v>207</v>
      </c>
      <c r="E512" s="2">
        <v>45799</v>
      </c>
      <c r="F512" s="2" cm="1">
        <f t="array" ref="F512">_xlfn.IFS(B512="Owner Surrender",E512,B512="Stray",E512+6,B512="Stray w/identification",E512+11,B512="Bite",E512+10,B512="Other",Blank)</f>
        <v>45805</v>
      </c>
      <c r="G512" s="2">
        <v>45807</v>
      </c>
      <c r="H512" s="5">
        <f t="shared" si="26"/>
        <v>8</v>
      </c>
      <c r="I512" s="5">
        <f t="shared" si="27"/>
        <v>2</v>
      </c>
      <c r="J512" s="2" t="s">
        <v>31</v>
      </c>
      <c r="K512" s="2" t="s">
        <v>587</v>
      </c>
      <c r="M512" t="s">
        <v>34</v>
      </c>
      <c r="AD512" s="33" t="str">
        <f t="shared" si="25"/>
        <v>Friday</v>
      </c>
    </row>
    <row r="513" spans="1:30" x14ac:dyDescent="0.2">
      <c r="A513" s="3">
        <v>40501</v>
      </c>
      <c r="B513" s="2" t="s">
        <v>38</v>
      </c>
      <c r="C513" t="s">
        <v>7</v>
      </c>
      <c r="D513" t="s">
        <v>208</v>
      </c>
      <c r="E513" s="2">
        <v>45800</v>
      </c>
      <c r="F513" s="2" cm="1">
        <f t="array" ref="F513">_xlfn.IFS(B513="Owner Surrender",E513,B513="Stray",E513+6,B513="Stray w/identification",E513+11,B513="Bite",E513+10,B513="Other",Blank)</f>
        <v>45806</v>
      </c>
      <c r="G513" s="2">
        <v>45807</v>
      </c>
      <c r="H513" s="5">
        <f t="shared" si="26"/>
        <v>7</v>
      </c>
      <c r="I513" s="5">
        <f t="shared" si="27"/>
        <v>1</v>
      </c>
      <c r="J513" s="2" t="s">
        <v>31</v>
      </c>
      <c r="K513" s="2" t="s">
        <v>587</v>
      </c>
      <c r="AD513" s="33" t="str">
        <f t="shared" si="25"/>
        <v>Friday</v>
      </c>
    </row>
    <row r="514" spans="1:30" x14ac:dyDescent="0.2">
      <c r="A514" s="3">
        <v>40502</v>
      </c>
      <c r="B514" s="2" t="s">
        <v>38</v>
      </c>
      <c r="C514" t="s">
        <v>7</v>
      </c>
      <c r="D514" t="s">
        <v>208</v>
      </c>
      <c r="E514" s="2">
        <v>45800</v>
      </c>
      <c r="F514" s="2" cm="1">
        <f t="array" ref="F514">_xlfn.IFS(B514="Owner Surrender",E514,B514="Stray",E514+6,B514="Stray w/identification",E514+11,B514="Bite",E514+10,B514="Other",Blank)</f>
        <v>45806</v>
      </c>
      <c r="G514" s="2">
        <v>45807</v>
      </c>
      <c r="H514" s="5">
        <f t="shared" si="26"/>
        <v>7</v>
      </c>
      <c r="I514" s="5">
        <f t="shared" si="27"/>
        <v>1</v>
      </c>
      <c r="J514" s="2" t="s">
        <v>31</v>
      </c>
      <c r="K514" s="2" t="s">
        <v>587</v>
      </c>
      <c r="AD514" s="33" t="str">
        <f t="shared" si="25"/>
        <v>Friday</v>
      </c>
    </row>
    <row r="515" spans="1:30" x14ac:dyDescent="0.2">
      <c r="A515" s="3">
        <v>40503</v>
      </c>
      <c r="B515" s="2" t="s">
        <v>38</v>
      </c>
      <c r="C515" t="s">
        <v>7</v>
      </c>
      <c r="D515" t="s">
        <v>208</v>
      </c>
      <c r="E515" s="2">
        <v>45800</v>
      </c>
      <c r="F515" s="2" cm="1">
        <f t="array" ref="F515">_xlfn.IFS(B515="Owner Surrender",E515,B515="Stray",E515+6,B515="Stray w/identification",E515+11,B515="Bite",E515+10,B515="Other",Blank)</f>
        <v>45806</v>
      </c>
      <c r="G515" s="2">
        <v>45807</v>
      </c>
      <c r="H515" s="5">
        <f t="shared" si="26"/>
        <v>7</v>
      </c>
      <c r="I515" s="5">
        <f t="shared" si="27"/>
        <v>1</v>
      </c>
      <c r="J515" s="2" t="s">
        <v>31</v>
      </c>
      <c r="K515" s="2" t="s">
        <v>587</v>
      </c>
      <c r="AD515" s="33" t="str">
        <f t="shared" si="25"/>
        <v>Friday</v>
      </c>
    </row>
    <row r="516" spans="1:30" x14ac:dyDescent="0.2">
      <c r="A516" s="3">
        <v>40504</v>
      </c>
      <c r="B516" s="2" t="s">
        <v>38</v>
      </c>
      <c r="C516" t="s">
        <v>7</v>
      </c>
      <c r="D516" t="s">
        <v>208</v>
      </c>
      <c r="E516" s="2">
        <v>45800</v>
      </c>
      <c r="F516" s="2" cm="1">
        <f t="array" ref="F516">_xlfn.IFS(B516="Owner Surrender",E516,B516="Stray",E516+6,B516="Stray w/identification",E516+11,B516="Bite",E516+10,B516="Other",Blank)</f>
        <v>45806</v>
      </c>
      <c r="G516" s="2">
        <v>45807</v>
      </c>
      <c r="H516" s="5">
        <f t="shared" si="26"/>
        <v>7</v>
      </c>
      <c r="I516" s="5">
        <f t="shared" si="27"/>
        <v>1</v>
      </c>
      <c r="J516" s="2" t="s">
        <v>31</v>
      </c>
      <c r="K516" s="2" t="s">
        <v>587</v>
      </c>
      <c r="AD516" s="33" t="str">
        <f t="shared" ref="AD516:AD579" si="28">TEXT(G516,"DDDD")</f>
        <v>Friday</v>
      </c>
    </row>
    <row r="517" spans="1:30" x14ac:dyDescent="0.2">
      <c r="A517" s="3">
        <v>40505</v>
      </c>
      <c r="B517" s="2" t="s">
        <v>36</v>
      </c>
      <c r="C517" t="s">
        <v>7</v>
      </c>
      <c r="D517" t="s">
        <v>208</v>
      </c>
      <c r="E517" s="2">
        <v>45800</v>
      </c>
      <c r="F517" s="2" cm="1">
        <f t="array" ref="F517">_xlfn.IFS(B517="Owner Surrender",E517,B517="Stray",E517+6,B517="Stray w/identification",E517+11,B517="Bite",E517+10,B517="Other",Blank)</f>
        <v>45800</v>
      </c>
      <c r="G517" s="2">
        <v>45831</v>
      </c>
      <c r="H517" s="5">
        <f t="shared" si="26"/>
        <v>31</v>
      </c>
      <c r="I517" s="5">
        <f t="shared" si="27"/>
        <v>31</v>
      </c>
      <c r="J517" s="2" t="s">
        <v>31</v>
      </c>
      <c r="K517" s="2" t="s">
        <v>587</v>
      </c>
      <c r="AD517" s="33" t="str">
        <f t="shared" si="28"/>
        <v>Monday</v>
      </c>
    </row>
    <row r="518" spans="1:30" x14ac:dyDescent="0.2">
      <c r="A518" s="3">
        <v>40506</v>
      </c>
      <c r="B518" s="2" t="s">
        <v>36</v>
      </c>
      <c r="C518" t="s">
        <v>7</v>
      </c>
      <c r="D518" t="s">
        <v>208</v>
      </c>
      <c r="E518" s="2">
        <v>45800</v>
      </c>
      <c r="F518" s="2" cm="1">
        <f t="array" ref="F518">_xlfn.IFS(B518="Owner Surrender",E518,B518="Stray",E518+6,B518="Stray w/identification",E518+11,B518="Bite",E518+10,B518="Other",Blank)</f>
        <v>45800</v>
      </c>
      <c r="G518" s="2">
        <v>45817</v>
      </c>
      <c r="H518" s="5">
        <f t="shared" si="26"/>
        <v>17</v>
      </c>
      <c r="I518" s="5">
        <f t="shared" si="27"/>
        <v>17</v>
      </c>
      <c r="J518" s="2" t="s">
        <v>11</v>
      </c>
      <c r="K518" s="2" t="s">
        <v>586</v>
      </c>
      <c r="AD518" s="33" t="str">
        <f t="shared" si="28"/>
        <v>Monday</v>
      </c>
    </row>
    <row r="519" spans="1:30" x14ac:dyDescent="0.2">
      <c r="A519" s="3">
        <v>40507</v>
      </c>
      <c r="B519" s="2" t="s">
        <v>38</v>
      </c>
      <c r="C519" t="s">
        <v>7</v>
      </c>
      <c r="D519" t="s">
        <v>208</v>
      </c>
      <c r="E519" s="2">
        <v>45800</v>
      </c>
      <c r="F519" s="2" cm="1">
        <f t="array" ref="F519">_xlfn.IFS(B519="Owner Surrender",E519,B519="Stray",E519+6,B519="Stray w/identification",E519+11,B519="Bite",E519+10,B519="Other",Blank)</f>
        <v>45806</v>
      </c>
      <c r="G519" s="2">
        <v>45806</v>
      </c>
      <c r="H519" s="5">
        <f t="shared" si="26"/>
        <v>6</v>
      </c>
      <c r="I519" s="5">
        <f t="shared" si="27"/>
        <v>0</v>
      </c>
      <c r="J519" s="2" t="s">
        <v>28</v>
      </c>
      <c r="K519" s="2" t="s">
        <v>586</v>
      </c>
      <c r="M519" t="s">
        <v>369</v>
      </c>
      <c r="AD519" s="33" t="str">
        <f t="shared" si="28"/>
        <v>Thursday</v>
      </c>
    </row>
    <row r="520" spans="1:30" x14ac:dyDescent="0.2">
      <c r="A520" s="3">
        <v>40508</v>
      </c>
      <c r="B520" s="2" t="s">
        <v>38</v>
      </c>
      <c r="C520" t="s">
        <v>7</v>
      </c>
      <c r="D520" t="s">
        <v>208</v>
      </c>
      <c r="E520" s="2">
        <v>45800</v>
      </c>
      <c r="F520" s="2" cm="1">
        <f t="array" ref="F520">_xlfn.IFS(B520="Owner Surrender",E520,B520="Stray",E520+6,B520="Stray w/identification",E520+11,B520="Bite",E520+10,B520="Other",Blank)</f>
        <v>45806</v>
      </c>
      <c r="G520" s="2">
        <v>45820</v>
      </c>
      <c r="H520" s="5">
        <f t="shared" si="26"/>
        <v>20</v>
      </c>
      <c r="I520" s="5">
        <f t="shared" si="27"/>
        <v>14</v>
      </c>
      <c r="J520" s="2" t="s">
        <v>11</v>
      </c>
      <c r="K520" s="2" t="s">
        <v>586</v>
      </c>
      <c r="AD520" s="33" t="str">
        <f t="shared" si="28"/>
        <v>Thursday</v>
      </c>
    </row>
    <row r="521" spans="1:30" x14ac:dyDescent="0.2">
      <c r="A521" s="3">
        <v>40509</v>
      </c>
      <c r="B521" s="2" t="s">
        <v>36</v>
      </c>
      <c r="C521" t="s">
        <v>7</v>
      </c>
      <c r="D521" t="s">
        <v>207</v>
      </c>
      <c r="E521" s="2">
        <v>45800</v>
      </c>
      <c r="F521" s="2" cm="1">
        <f t="array" ref="F521">_xlfn.IFS(B521="Owner Surrender",E521,B521="Stray",E521+6,B521="Stray w/identification",E521+11,B521="Bite",E521+10,B521="Other",Blank)</f>
        <v>45800</v>
      </c>
      <c r="G521" s="2">
        <v>45801</v>
      </c>
      <c r="H521" s="5">
        <f t="shared" si="26"/>
        <v>1</v>
      </c>
      <c r="I521" s="5">
        <f t="shared" si="27"/>
        <v>1</v>
      </c>
      <c r="J521" s="2" t="s">
        <v>31</v>
      </c>
      <c r="K521" s="2" t="s">
        <v>588</v>
      </c>
      <c r="M521" t="s">
        <v>386</v>
      </c>
      <c r="AD521" s="33" t="str">
        <f t="shared" si="28"/>
        <v>Saturday</v>
      </c>
    </row>
    <row r="522" spans="1:30" x14ac:dyDescent="0.2">
      <c r="A522" s="3">
        <v>40510</v>
      </c>
      <c r="B522" s="2" t="s">
        <v>36</v>
      </c>
      <c r="C522" t="s">
        <v>7</v>
      </c>
      <c r="D522" t="s">
        <v>207</v>
      </c>
      <c r="E522" s="2">
        <v>45800</v>
      </c>
      <c r="F522" s="2" cm="1">
        <f t="array" ref="F522">_xlfn.IFS(B522="Owner Surrender",E522,B522="Stray",E522+6,B522="Stray w/identification",E522+11,B522="Bite",E522+10,B522="Other",Blank)</f>
        <v>45800</v>
      </c>
      <c r="G522" s="2">
        <v>45801</v>
      </c>
      <c r="H522" s="5">
        <f t="shared" si="26"/>
        <v>1</v>
      </c>
      <c r="I522" s="5">
        <f t="shared" si="27"/>
        <v>1</v>
      </c>
      <c r="J522" s="2" t="s">
        <v>31</v>
      </c>
      <c r="K522" s="2" t="s">
        <v>587</v>
      </c>
      <c r="AD522" s="33" t="str">
        <f t="shared" si="28"/>
        <v>Saturday</v>
      </c>
    </row>
    <row r="523" spans="1:30" x14ac:dyDescent="0.2">
      <c r="A523" s="3">
        <v>40511</v>
      </c>
      <c r="B523" s="2" t="s">
        <v>36</v>
      </c>
      <c r="C523" t="s">
        <v>15</v>
      </c>
      <c r="D523" t="s">
        <v>208</v>
      </c>
      <c r="E523" s="2">
        <v>45800</v>
      </c>
      <c r="F523" s="2" cm="1">
        <f t="array" ref="F523">_xlfn.IFS(B523="Owner Surrender",E523,B523="Stray",E523+6,B523="Stray w/identification",E523+11,B523="Bite",E523+10,B523="Other",Blank)</f>
        <v>45800</v>
      </c>
      <c r="G523" s="2">
        <v>45801</v>
      </c>
      <c r="H523" s="5">
        <f t="shared" si="26"/>
        <v>1</v>
      </c>
      <c r="I523" s="5">
        <f t="shared" si="27"/>
        <v>1</v>
      </c>
      <c r="J523" s="2" t="s">
        <v>31</v>
      </c>
      <c r="K523" s="2" t="s">
        <v>588</v>
      </c>
      <c r="M523" t="s">
        <v>384</v>
      </c>
      <c r="AD523" s="33" t="str">
        <f t="shared" si="28"/>
        <v>Saturday</v>
      </c>
    </row>
    <row r="524" spans="1:30" x14ac:dyDescent="0.2">
      <c r="A524" s="3">
        <v>40512</v>
      </c>
      <c r="B524" s="2" t="s">
        <v>36</v>
      </c>
      <c r="C524" t="s">
        <v>7</v>
      </c>
      <c r="D524" t="s">
        <v>208</v>
      </c>
      <c r="E524" s="2">
        <v>45800</v>
      </c>
      <c r="F524" s="2" cm="1">
        <f t="array" ref="F524">_xlfn.IFS(B524="Owner Surrender",E524,B524="Stray",E524+6,B524="Stray w/identification",E524+11,B524="Bite",E524+10,B524="Other",Blank)</f>
        <v>45800</v>
      </c>
      <c r="G524" s="2">
        <v>45801</v>
      </c>
      <c r="H524" s="5">
        <f t="shared" si="26"/>
        <v>1</v>
      </c>
      <c r="I524" s="5">
        <f t="shared" si="27"/>
        <v>1</v>
      </c>
      <c r="J524" s="2" t="s">
        <v>31</v>
      </c>
      <c r="K524" s="2" t="s">
        <v>588</v>
      </c>
      <c r="M524" t="s">
        <v>384</v>
      </c>
      <c r="AD524" s="33" t="str">
        <f t="shared" si="28"/>
        <v>Saturday</v>
      </c>
    </row>
    <row r="525" spans="1:30" x14ac:dyDescent="0.2">
      <c r="A525" s="3">
        <v>40513</v>
      </c>
      <c r="B525" s="2" t="s">
        <v>36</v>
      </c>
      <c r="C525" t="s">
        <v>7</v>
      </c>
      <c r="D525" t="s">
        <v>208</v>
      </c>
      <c r="E525" s="2">
        <v>45800</v>
      </c>
      <c r="F525" s="2" cm="1">
        <f t="array" ref="F525">_xlfn.IFS(B525="Owner Surrender",E525,B525="Stray",E525+6,B525="Stray w/identification",E525+11,B525="Bite",E525+10,B525="Other",Blank)</f>
        <v>45800</v>
      </c>
      <c r="G525" s="2">
        <v>45801</v>
      </c>
      <c r="H525" s="5">
        <f t="shared" si="26"/>
        <v>1</v>
      </c>
      <c r="I525" s="5">
        <f t="shared" si="27"/>
        <v>1</v>
      </c>
      <c r="J525" s="2" t="s">
        <v>31</v>
      </c>
      <c r="K525" s="2" t="s">
        <v>587</v>
      </c>
      <c r="AD525" s="33" t="str">
        <f t="shared" si="28"/>
        <v>Saturday</v>
      </c>
    </row>
    <row r="526" spans="1:30" x14ac:dyDescent="0.2">
      <c r="A526" s="3">
        <v>40514</v>
      </c>
      <c r="B526" s="2" t="s">
        <v>36</v>
      </c>
      <c r="C526" t="s">
        <v>7</v>
      </c>
      <c r="D526" t="s">
        <v>208</v>
      </c>
      <c r="E526" s="2">
        <v>45800</v>
      </c>
      <c r="F526" s="2" cm="1">
        <f t="array" ref="F526">_xlfn.IFS(B526="Owner Surrender",E526,B526="Stray",E526+6,B526="Stray w/identification",E526+11,B526="Bite",E526+10,B526="Other",Blank)</f>
        <v>45800</v>
      </c>
      <c r="G526" s="2">
        <v>45801</v>
      </c>
      <c r="H526" s="5">
        <f t="shared" si="26"/>
        <v>1</v>
      </c>
      <c r="I526" s="5">
        <f t="shared" si="27"/>
        <v>1</v>
      </c>
      <c r="J526" s="2" t="s">
        <v>31</v>
      </c>
      <c r="K526" s="2" t="s">
        <v>587</v>
      </c>
      <c r="AD526" s="33" t="str">
        <f t="shared" si="28"/>
        <v>Saturday</v>
      </c>
    </row>
    <row r="527" spans="1:30" x14ac:dyDescent="0.2">
      <c r="A527" s="3">
        <v>40515</v>
      </c>
      <c r="B527" s="2" t="s">
        <v>36</v>
      </c>
      <c r="C527" t="s">
        <v>7</v>
      </c>
      <c r="D527" t="s">
        <v>208</v>
      </c>
      <c r="E527" s="2">
        <v>45800</v>
      </c>
      <c r="F527" s="2" cm="1">
        <f t="array" ref="F527">_xlfn.IFS(B527="Owner Surrender",E527,B527="Stray",E527+6,B527="Stray w/identification",E527+11,B527="Bite",E527+10,B527="Other",Blank)</f>
        <v>45800</v>
      </c>
      <c r="G527" s="2">
        <v>45801</v>
      </c>
      <c r="H527" s="5">
        <f t="shared" si="26"/>
        <v>1</v>
      </c>
      <c r="I527" s="5">
        <f t="shared" si="27"/>
        <v>1</v>
      </c>
      <c r="J527" s="2" t="s">
        <v>31</v>
      </c>
      <c r="K527" s="2" t="s">
        <v>588</v>
      </c>
      <c r="M527" t="s">
        <v>384</v>
      </c>
      <c r="AD527" s="33" t="str">
        <f t="shared" si="28"/>
        <v>Saturday</v>
      </c>
    </row>
    <row r="528" spans="1:30" x14ac:dyDescent="0.2">
      <c r="A528" s="3">
        <v>40516</v>
      </c>
      <c r="B528" s="2" t="s">
        <v>36</v>
      </c>
      <c r="C528" t="s">
        <v>7</v>
      </c>
      <c r="D528" t="s">
        <v>208</v>
      </c>
      <c r="E528" s="2">
        <v>45800</v>
      </c>
      <c r="F528" s="2" cm="1">
        <f t="array" ref="F528">_xlfn.IFS(B528="Owner Surrender",E528,B528="Stray",E528+6,B528="Stray w/identification",E528+11,B528="Bite",E528+10,B528="Other",Blank)</f>
        <v>45800</v>
      </c>
      <c r="G528" s="2">
        <v>45801</v>
      </c>
      <c r="H528" s="5">
        <f t="shared" si="26"/>
        <v>1</v>
      </c>
      <c r="I528" s="5">
        <f t="shared" si="27"/>
        <v>1</v>
      </c>
      <c r="J528" s="2" t="s">
        <v>31</v>
      </c>
      <c r="K528" s="2" t="s">
        <v>587</v>
      </c>
      <c r="AD528" s="33" t="str">
        <f t="shared" si="28"/>
        <v>Saturday</v>
      </c>
    </row>
    <row r="529" spans="1:30" x14ac:dyDescent="0.2">
      <c r="A529" s="3">
        <v>40517</v>
      </c>
      <c r="B529" s="2" t="s">
        <v>38</v>
      </c>
      <c r="C529" t="s">
        <v>7</v>
      </c>
      <c r="D529" t="s">
        <v>208</v>
      </c>
      <c r="E529" s="2">
        <v>45801</v>
      </c>
      <c r="F529" s="2" cm="1">
        <f t="array" ref="F529">_xlfn.IFS(B529="Owner Surrender",E529,B529="Stray",E529+6,B529="Stray w/identification",E529+11,B529="Bite",E529+10,B529="Other",Blank)</f>
        <v>45807</v>
      </c>
      <c r="G529" s="2">
        <v>45812</v>
      </c>
      <c r="H529" s="5">
        <f t="shared" si="26"/>
        <v>11</v>
      </c>
      <c r="I529" s="5">
        <f t="shared" si="27"/>
        <v>5</v>
      </c>
      <c r="J529" s="2" t="s">
        <v>31</v>
      </c>
      <c r="K529" s="2" t="s">
        <v>587</v>
      </c>
      <c r="AD529" s="33" t="str">
        <f t="shared" si="28"/>
        <v>Wednesday</v>
      </c>
    </row>
    <row r="530" spans="1:30" x14ac:dyDescent="0.2">
      <c r="A530" s="3">
        <v>40518</v>
      </c>
      <c r="B530" s="2" t="s">
        <v>38</v>
      </c>
      <c r="C530" t="s">
        <v>10</v>
      </c>
      <c r="D530" t="s">
        <v>207</v>
      </c>
      <c r="E530" s="2">
        <v>45801</v>
      </c>
      <c r="F530" s="2" cm="1">
        <f t="array" ref="F530">_xlfn.IFS(B530="Owner Surrender",E530,B530="Stray",E530+6,B530="Stray w/identification",E530+11,B530="Bite",E530+10,B530="Other",Blank)</f>
        <v>45807</v>
      </c>
      <c r="G530" s="2">
        <v>45810</v>
      </c>
      <c r="H530" s="5">
        <f t="shared" si="26"/>
        <v>9</v>
      </c>
      <c r="I530" s="5">
        <f t="shared" si="27"/>
        <v>3</v>
      </c>
      <c r="J530" s="2" t="s">
        <v>31</v>
      </c>
      <c r="K530" s="2" t="s">
        <v>587</v>
      </c>
      <c r="M530" t="s">
        <v>34</v>
      </c>
      <c r="AD530" s="33" t="str">
        <f t="shared" si="28"/>
        <v>Monday</v>
      </c>
    </row>
    <row r="531" spans="1:30" x14ac:dyDescent="0.2">
      <c r="A531" s="3">
        <v>40519</v>
      </c>
      <c r="B531" s="2" t="s">
        <v>38</v>
      </c>
      <c r="C531" t="s">
        <v>10</v>
      </c>
      <c r="D531" t="s">
        <v>208</v>
      </c>
      <c r="E531" s="2">
        <v>45801</v>
      </c>
      <c r="F531" s="2" cm="1">
        <f t="array" ref="F531">_xlfn.IFS(B531="Owner Surrender",E531,B531="Stray",E531+6,B531="Stray w/identification",E531+11,B531="Bite",E531+10,B531="Other",Blank)</f>
        <v>45807</v>
      </c>
      <c r="G531" s="2">
        <v>45849</v>
      </c>
      <c r="H531" s="5">
        <f t="shared" si="26"/>
        <v>48</v>
      </c>
      <c r="I531" s="5">
        <f t="shared" si="27"/>
        <v>42</v>
      </c>
      <c r="J531" s="2" t="s">
        <v>11</v>
      </c>
      <c r="K531" s="2" t="s">
        <v>586</v>
      </c>
      <c r="AD531" s="33" t="str">
        <f t="shared" si="28"/>
        <v>Friday</v>
      </c>
    </row>
    <row r="532" spans="1:30" x14ac:dyDescent="0.2">
      <c r="A532" s="3">
        <v>40520</v>
      </c>
      <c r="B532" s="2" t="s">
        <v>38</v>
      </c>
      <c r="C532" t="s">
        <v>7</v>
      </c>
      <c r="D532" t="s">
        <v>207</v>
      </c>
      <c r="E532" s="2">
        <v>45801</v>
      </c>
      <c r="F532" s="2" cm="1">
        <f t="array" ref="F532">_xlfn.IFS(B532="Owner Surrender",E532,B532="Stray",E532+6,B532="Stray w/identification",E532+11,B532="Bite",E532+10,B532="Other",Blank)</f>
        <v>45807</v>
      </c>
      <c r="G532" s="2">
        <v>45812</v>
      </c>
      <c r="H532" s="5">
        <f t="shared" si="26"/>
        <v>11</v>
      </c>
      <c r="I532" s="5">
        <f t="shared" si="27"/>
        <v>5</v>
      </c>
      <c r="J532" s="2" t="s">
        <v>31</v>
      </c>
      <c r="K532" s="2" t="s">
        <v>587</v>
      </c>
      <c r="AD532" s="33" t="str">
        <f t="shared" si="28"/>
        <v>Wednesday</v>
      </c>
    </row>
    <row r="533" spans="1:30" x14ac:dyDescent="0.2">
      <c r="A533" s="3">
        <v>40522</v>
      </c>
      <c r="B533" s="2" t="s">
        <v>38</v>
      </c>
      <c r="C533" t="s">
        <v>7</v>
      </c>
      <c r="D533" t="s">
        <v>208</v>
      </c>
      <c r="E533" s="2">
        <v>45801</v>
      </c>
      <c r="F533" s="2" cm="1">
        <f t="array" ref="F533">_xlfn.IFS(B533="Owner Surrender",E533,B533="Stray",E533+6,B533="Stray w/identification",E533+11,B533="Bite",E533+10,B533="Other",Blank)</f>
        <v>45807</v>
      </c>
      <c r="G533" s="2">
        <v>45812</v>
      </c>
      <c r="H533" s="5">
        <f t="shared" si="26"/>
        <v>11</v>
      </c>
      <c r="I533" s="5">
        <f t="shared" si="27"/>
        <v>5</v>
      </c>
      <c r="J533" s="2" t="s">
        <v>31</v>
      </c>
      <c r="K533" s="2" t="s">
        <v>587</v>
      </c>
      <c r="AD533" s="33" t="str">
        <f t="shared" si="28"/>
        <v>Wednesday</v>
      </c>
    </row>
    <row r="534" spans="1:30" x14ac:dyDescent="0.2">
      <c r="A534" s="3">
        <v>40523</v>
      </c>
      <c r="B534" s="2" t="s">
        <v>38</v>
      </c>
      <c r="C534" t="s">
        <v>7</v>
      </c>
      <c r="D534" t="s">
        <v>208</v>
      </c>
      <c r="E534" s="2">
        <v>45801</v>
      </c>
      <c r="F534" s="2" cm="1">
        <f t="array" ref="F534">_xlfn.IFS(B534="Owner Surrender",E534,B534="Stray",E534+6,B534="Stray w/identification",E534+11,B534="Bite",E534+10,B534="Other",Blank)</f>
        <v>45807</v>
      </c>
      <c r="G534" s="2">
        <v>45812</v>
      </c>
      <c r="H534" s="5">
        <f t="shared" si="26"/>
        <v>11</v>
      </c>
      <c r="I534" s="5">
        <f t="shared" si="27"/>
        <v>5</v>
      </c>
      <c r="J534" s="2" t="s">
        <v>31</v>
      </c>
      <c r="K534" s="2" t="s">
        <v>587</v>
      </c>
      <c r="AD534" s="33" t="str">
        <f t="shared" si="28"/>
        <v>Wednesday</v>
      </c>
    </row>
    <row r="535" spans="1:30" x14ac:dyDescent="0.2">
      <c r="A535" s="3">
        <v>40524</v>
      </c>
      <c r="B535" s="2" t="s">
        <v>36</v>
      </c>
      <c r="C535" t="s">
        <v>7</v>
      </c>
      <c r="D535" t="s">
        <v>207</v>
      </c>
      <c r="E535" s="2">
        <v>45801</v>
      </c>
      <c r="F535" s="2" cm="1">
        <f t="array" ref="F535">_xlfn.IFS(B535="Owner Surrender",E535,B535="Stray",E535+6,B535="Stray w/identification",E535+11,B535="Bite",E535+10,B535="Other",Blank)</f>
        <v>45801</v>
      </c>
      <c r="G535" s="2">
        <v>45810</v>
      </c>
      <c r="H535" s="5">
        <f t="shared" si="26"/>
        <v>9</v>
      </c>
      <c r="I535" s="5">
        <f t="shared" si="27"/>
        <v>9</v>
      </c>
      <c r="J535" s="2" t="s">
        <v>31</v>
      </c>
      <c r="K535" s="2" t="s">
        <v>587</v>
      </c>
      <c r="AD535" s="33" t="str">
        <f t="shared" si="28"/>
        <v>Monday</v>
      </c>
    </row>
    <row r="536" spans="1:30" x14ac:dyDescent="0.2">
      <c r="A536" s="3">
        <v>40525</v>
      </c>
      <c r="B536" s="2" t="s">
        <v>36</v>
      </c>
      <c r="C536" t="s">
        <v>7</v>
      </c>
      <c r="D536" t="s">
        <v>207</v>
      </c>
      <c r="E536" s="2">
        <v>45801</v>
      </c>
      <c r="F536" s="2" cm="1">
        <f t="array" ref="F536">_xlfn.IFS(B536="Owner Surrender",E536,B536="Stray",E536+6,B536="Stray w/identification",E536+11,B536="Bite",E536+10,B536="Other",Blank)</f>
        <v>45801</v>
      </c>
      <c r="G536" s="2">
        <v>45810</v>
      </c>
      <c r="H536" s="5">
        <f t="shared" si="26"/>
        <v>9</v>
      </c>
      <c r="I536" s="5">
        <f t="shared" si="27"/>
        <v>9</v>
      </c>
      <c r="J536" s="2" t="s">
        <v>31</v>
      </c>
      <c r="K536" s="2" t="s">
        <v>587</v>
      </c>
      <c r="AD536" s="33" t="str">
        <f t="shared" si="28"/>
        <v>Monday</v>
      </c>
    </row>
    <row r="537" spans="1:30" x14ac:dyDescent="0.2">
      <c r="A537" s="3">
        <v>40527</v>
      </c>
      <c r="B537" s="2" t="s">
        <v>36</v>
      </c>
      <c r="C537" t="s">
        <v>15</v>
      </c>
      <c r="D537" t="s">
        <v>209</v>
      </c>
      <c r="E537" s="2">
        <v>45803</v>
      </c>
      <c r="F537" s="2" cm="1">
        <f t="array" ref="F537">_xlfn.IFS(B537="Owner Surrender",E537,B537="Stray",E537+6,B537="Stray w/identification",E537+11,B537="Bite",E537+10,B537="Other",Blank)</f>
        <v>45803</v>
      </c>
      <c r="G537" s="2">
        <v>45812</v>
      </c>
      <c r="H537" s="5">
        <f t="shared" si="26"/>
        <v>9</v>
      </c>
      <c r="I537" s="5">
        <f t="shared" si="27"/>
        <v>9</v>
      </c>
      <c r="J537" s="2" t="s">
        <v>31</v>
      </c>
      <c r="K537" s="2" t="s">
        <v>587</v>
      </c>
      <c r="AD537" s="33" t="str">
        <f t="shared" si="28"/>
        <v>Wednesday</v>
      </c>
    </row>
    <row r="538" spans="1:30" x14ac:dyDescent="0.2">
      <c r="A538" s="3">
        <v>40532</v>
      </c>
      <c r="B538" s="2" t="s">
        <v>38</v>
      </c>
      <c r="C538" t="s">
        <v>10</v>
      </c>
      <c r="D538" t="s">
        <v>208</v>
      </c>
      <c r="E538" s="2">
        <v>45803</v>
      </c>
      <c r="F538" s="2" cm="1">
        <f t="array" ref="F538">_xlfn.IFS(B538="Owner Surrender",E538,B538="Stray",E538+6,B538="Stray w/identification",E538+11,B538="Bite",E538+10,B538="Other",Blank)</f>
        <v>45809</v>
      </c>
      <c r="G538" s="2">
        <v>45814</v>
      </c>
      <c r="H538" s="5">
        <f t="shared" si="26"/>
        <v>11</v>
      </c>
      <c r="I538" s="5">
        <f t="shared" si="27"/>
        <v>5</v>
      </c>
      <c r="J538" s="2" t="s">
        <v>28</v>
      </c>
      <c r="K538" s="2" t="s">
        <v>586</v>
      </c>
      <c r="M538" t="s">
        <v>369</v>
      </c>
      <c r="AD538" s="33" t="str">
        <f t="shared" si="28"/>
        <v>Friday</v>
      </c>
    </row>
    <row r="539" spans="1:30" x14ac:dyDescent="0.2">
      <c r="A539" s="3">
        <v>40534</v>
      </c>
      <c r="B539" s="2" t="s">
        <v>38</v>
      </c>
      <c r="C539" t="s">
        <v>7</v>
      </c>
      <c r="D539" t="s">
        <v>208</v>
      </c>
      <c r="E539" s="2">
        <v>45793</v>
      </c>
      <c r="F539" s="2" cm="1">
        <f t="array" ref="F539">_xlfn.IFS(B539="Owner Surrender",E539,B539="Stray",E539+6,B539="Stray w/identification",E539+11,B539="Bite",E539+10,B539="Other",Blank)</f>
        <v>45799</v>
      </c>
      <c r="G539" s="2">
        <v>45800</v>
      </c>
      <c r="H539" s="5">
        <f t="shared" si="26"/>
        <v>7</v>
      </c>
      <c r="I539" s="5">
        <f t="shared" si="27"/>
        <v>1</v>
      </c>
      <c r="J539" s="2" t="s">
        <v>31</v>
      </c>
      <c r="K539" s="2" t="s">
        <v>587</v>
      </c>
      <c r="AD539" s="33" t="str">
        <f t="shared" si="28"/>
        <v>Friday</v>
      </c>
    </row>
    <row r="540" spans="1:30" x14ac:dyDescent="0.2">
      <c r="A540" s="3">
        <v>40539</v>
      </c>
      <c r="B540" s="2" t="s">
        <v>38</v>
      </c>
      <c r="C540" t="s">
        <v>7</v>
      </c>
      <c r="D540" t="s">
        <v>208</v>
      </c>
      <c r="E540" s="2">
        <v>45804</v>
      </c>
      <c r="F540" s="2" cm="1">
        <f t="array" ref="F540">_xlfn.IFS(B540="Owner Surrender",E540,B540="Stray",E540+6,B540="Stray w/identification",E540+11,B540="Bite",E540+10,B540="Other",Blank)</f>
        <v>45810</v>
      </c>
      <c r="G540" s="2">
        <v>45804</v>
      </c>
      <c r="H540" s="5">
        <f t="shared" si="26"/>
        <v>0</v>
      </c>
      <c r="I540" s="5">
        <f t="shared" si="27"/>
        <v>-6</v>
      </c>
      <c r="J540" s="2" t="s">
        <v>31</v>
      </c>
      <c r="K540" s="2" t="s">
        <v>588</v>
      </c>
      <c r="M540" t="s">
        <v>398</v>
      </c>
      <c r="AD540" s="33" t="str">
        <f t="shared" si="28"/>
        <v>Tuesday</v>
      </c>
    </row>
    <row r="541" spans="1:30" x14ac:dyDescent="0.2">
      <c r="A541" s="3">
        <v>40540</v>
      </c>
      <c r="B541" s="2" t="s">
        <v>38</v>
      </c>
      <c r="C541" t="s">
        <v>7</v>
      </c>
      <c r="D541" t="s">
        <v>207</v>
      </c>
      <c r="E541" s="2">
        <v>45804</v>
      </c>
      <c r="F541" s="2" cm="1">
        <f t="array" ref="F541">_xlfn.IFS(B541="Owner Surrender",E541,B541="Stray",E541+6,B541="Stray w/identification",E541+11,B541="Bite",E541+10,B541="Other",Blank)</f>
        <v>45810</v>
      </c>
      <c r="G541" s="2">
        <v>45817</v>
      </c>
      <c r="H541" s="5">
        <f t="shared" si="26"/>
        <v>13</v>
      </c>
      <c r="I541" s="5">
        <f t="shared" si="27"/>
        <v>7</v>
      </c>
      <c r="J541" s="2" t="s">
        <v>31</v>
      </c>
      <c r="K541" s="2" t="s">
        <v>587</v>
      </c>
      <c r="L541" t="s">
        <v>401</v>
      </c>
      <c r="M541" t="s">
        <v>34</v>
      </c>
      <c r="AD541" s="33" t="str">
        <f t="shared" si="28"/>
        <v>Monday</v>
      </c>
    </row>
    <row r="542" spans="1:30" x14ac:dyDescent="0.2">
      <c r="A542" s="3">
        <v>40541</v>
      </c>
      <c r="B542" s="2" t="s">
        <v>38</v>
      </c>
      <c r="C542" t="s">
        <v>7</v>
      </c>
      <c r="D542" t="s">
        <v>208</v>
      </c>
      <c r="E542" s="2">
        <v>45803</v>
      </c>
      <c r="F542" s="2" cm="1">
        <f t="array" ref="F542">_xlfn.IFS(B542="Owner Surrender",E542,B542="Stray",E542+6,B542="Stray w/identification",E542+11,B542="Bite",E542+10,B542="Other",Blank)</f>
        <v>45809</v>
      </c>
      <c r="G542" s="2">
        <v>45812</v>
      </c>
      <c r="H542" s="5">
        <f t="shared" si="26"/>
        <v>9</v>
      </c>
      <c r="I542" s="5">
        <f t="shared" si="27"/>
        <v>3</v>
      </c>
      <c r="J542" s="2" t="s">
        <v>31</v>
      </c>
      <c r="K542" s="2" t="s">
        <v>587</v>
      </c>
      <c r="AD542" s="33" t="str">
        <f t="shared" si="28"/>
        <v>Wednesday</v>
      </c>
    </row>
    <row r="543" spans="1:30" x14ac:dyDescent="0.2">
      <c r="A543" s="3">
        <v>40542</v>
      </c>
      <c r="B543" s="2" t="s">
        <v>36</v>
      </c>
      <c r="C543" t="s">
        <v>7</v>
      </c>
      <c r="D543" t="s">
        <v>208</v>
      </c>
      <c r="E543" s="2">
        <v>45805</v>
      </c>
      <c r="F543" s="2" cm="1">
        <f t="array" ref="F543">_xlfn.IFS(B543="Owner Surrender",E543,B543="Stray",E543+6,B543="Stray w/identification",E543+11,B543="Bite",E543+10,B543="Other",Blank)</f>
        <v>45805</v>
      </c>
      <c r="G543" s="2">
        <v>45807</v>
      </c>
      <c r="H543" s="5">
        <f t="shared" si="26"/>
        <v>2</v>
      </c>
      <c r="I543" s="5">
        <f t="shared" si="27"/>
        <v>2</v>
      </c>
      <c r="J543" s="2" t="s">
        <v>31</v>
      </c>
      <c r="K543" s="2" t="s">
        <v>587</v>
      </c>
      <c r="AD543" s="33" t="str">
        <f t="shared" si="28"/>
        <v>Friday</v>
      </c>
    </row>
    <row r="544" spans="1:30" x14ac:dyDescent="0.2">
      <c r="A544" s="3">
        <v>40543</v>
      </c>
      <c r="B544" s="2" t="s">
        <v>36</v>
      </c>
      <c r="C544" t="s">
        <v>7</v>
      </c>
      <c r="D544" t="s">
        <v>208</v>
      </c>
      <c r="E544" s="2">
        <v>45805</v>
      </c>
      <c r="F544" s="2" cm="1">
        <f t="array" ref="F544">_xlfn.IFS(B544="Owner Surrender",E544,B544="Stray",E544+6,B544="Stray w/identification",E544+11,B544="Bite",E544+10,B544="Other",Blank)</f>
        <v>45805</v>
      </c>
      <c r="G544" s="2">
        <v>45807</v>
      </c>
      <c r="H544" s="5">
        <f t="shared" si="26"/>
        <v>2</v>
      </c>
      <c r="I544" s="5">
        <f t="shared" si="27"/>
        <v>2</v>
      </c>
      <c r="J544" s="2" t="s">
        <v>31</v>
      </c>
      <c r="K544" s="2" t="s">
        <v>587</v>
      </c>
      <c r="AD544" s="33" t="str">
        <f t="shared" si="28"/>
        <v>Friday</v>
      </c>
    </row>
    <row r="545" spans="1:30" x14ac:dyDescent="0.2">
      <c r="A545" s="3">
        <v>40544</v>
      </c>
      <c r="B545" s="2" t="s">
        <v>36</v>
      </c>
      <c r="C545" t="s">
        <v>7</v>
      </c>
      <c r="D545" t="s">
        <v>208</v>
      </c>
      <c r="E545" s="2">
        <v>45805</v>
      </c>
      <c r="F545" s="2" cm="1">
        <f t="array" ref="F545">_xlfn.IFS(B545="Owner Surrender",E545,B545="Stray",E545+6,B545="Stray w/identification",E545+11,B545="Bite",E545+10,B545="Other",Blank)</f>
        <v>45805</v>
      </c>
      <c r="G545" s="2">
        <v>45807</v>
      </c>
      <c r="H545" s="5">
        <f t="shared" si="26"/>
        <v>2</v>
      </c>
      <c r="I545" s="5">
        <f t="shared" si="27"/>
        <v>2</v>
      </c>
      <c r="J545" s="2" t="s">
        <v>31</v>
      </c>
      <c r="K545" s="2" t="s">
        <v>587</v>
      </c>
      <c r="AD545" s="33" t="str">
        <f t="shared" si="28"/>
        <v>Friday</v>
      </c>
    </row>
    <row r="546" spans="1:30" x14ac:dyDescent="0.2">
      <c r="A546" s="3">
        <v>40545</v>
      </c>
      <c r="B546" s="2" t="s">
        <v>36</v>
      </c>
      <c r="C546" t="s">
        <v>7</v>
      </c>
      <c r="D546" t="s">
        <v>208</v>
      </c>
      <c r="E546" s="2">
        <v>45805</v>
      </c>
      <c r="F546" s="2" cm="1">
        <f t="array" ref="F546">_xlfn.IFS(B546="Owner Surrender",E546,B546="Stray",E546+6,B546="Stray w/identification",E546+11,B546="Bite",E546+10,B546="Other",Blank)</f>
        <v>45805</v>
      </c>
      <c r="G546" s="2">
        <v>45807</v>
      </c>
      <c r="H546" s="5">
        <f t="shared" si="26"/>
        <v>2</v>
      </c>
      <c r="I546" s="5">
        <f t="shared" si="27"/>
        <v>2</v>
      </c>
      <c r="J546" s="2" t="s">
        <v>31</v>
      </c>
      <c r="K546" s="2" t="s">
        <v>587</v>
      </c>
      <c r="AD546" s="33" t="str">
        <f t="shared" si="28"/>
        <v>Friday</v>
      </c>
    </row>
    <row r="547" spans="1:30" x14ac:dyDescent="0.2">
      <c r="A547" s="3">
        <v>40546</v>
      </c>
      <c r="B547" s="2" t="s">
        <v>36</v>
      </c>
      <c r="C547" t="s">
        <v>7</v>
      </c>
      <c r="D547" t="s">
        <v>208</v>
      </c>
      <c r="E547" s="2">
        <v>45805</v>
      </c>
      <c r="F547" s="2" cm="1">
        <f t="array" ref="F547">_xlfn.IFS(B547="Owner Surrender",E547,B547="Stray",E547+6,B547="Stray w/identification",E547+11,B547="Bite",E547+10,B547="Other",Blank)</f>
        <v>45805</v>
      </c>
      <c r="G547" s="2">
        <v>45807</v>
      </c>
      <c r="H547" s="5">
        <f t="shared" si="26"/>
        <v>2</v>
      </c>
      <c r="I547" s="5">
        <f t="shared" si="27"/>
        <v>2</v>
      </c>
      <c r="J547" s="2" t="s">
        <v>31</v>
      </c>
      <c r="K547" s="2" t="s">
        <v>587</v>
      </c>
      <c r="AD547" s="33" t="str">
        <f t="shared" si="28"/>
        <v>Friday</v>
      </c>
    </row>
    <row r="548" spans="1:30" x14ac:dyDescent="0.2">
      <c r="A548" s="3">
        <v>40547</v>
      </c>
      <c r="B548" s="2" t="s">
        <v>36</v>
      </c>
      <c r="C548" t="s">
        <v>7</v>
      </c>
      <c r="D548" t="s">
        <v>208</v>
      </c>
      <c r="E548" s="2">
        <v>45805</v>
      </c>
      <c r="F548" s="2" cm="1">
        <f t="array" ref="F548">_xlfn.IFS(B548="Owner Surrender",E548,B548="Stray",E548+6,B548="Stray w/identification",E548+11,B548="Bite",E548+10,B548="Other",Blank)</f>
        <v>45805</v>
      </c>
      <c r="G548" s="2">
        <v>45807</v>
      </c>
      <c r="H548" s="5">
        <f t="shared" si="26"/>
        <v>2</v>
      </c>
      <c r="I548" s="5">
        <f t="shared" si="27"/>
        <v>2</v>
      </c>
      <c r="J548" s="2" t="s">
        <v>31</v>
      </c>
      <c r="K548" s="2" t="s">
        <v>587</v>
      </c>
      <c r="AD548" s="33" t="str">
        <f t="shared" si="28"/>
        <v>Friday</v>
      </c>
    </row>
    <row r="549" spans="1:30" x14ac:dyDescent="0.2">
      <c r="A549" s="3">
        <v>40548</v>
      </c>
      <c r="B549" s="2" t="s">
        <v>36</v>
      </c>
      <c r="C549" t="s">
        <v>7</v>
      </c>
      <c r="D549" t="s">
        <v>208</v>
      </c>
      <c r="E549" s="2">
        <v>45805</v>
      </c>
      <c r="F549" s="2" cm="1">
        <f t="array" ref="F549">_xlfn.IFS(B549="Owner Surrender",E549,B549="Stray",E549+6,B549="Stray w/identification",E549+11,B549="Bite",E549+10,B549="Other",Blank)</f>
        <v>45805</v>
      </c>
      <c r="G549" s="2">
        <v>45807</v>
      </c>
      <c r="H549" s="5">
        <f t="shared" si="26"/>
        <v>2</v>
      </c>
      <c r="I549" s="5">
        <f t="shared" si="27"/>
        <v>2</v>
      </c>
      <c r="J549" s="2" t="s">
        <v>31</v>
      </c>
      <c r="K549" s="2" t="s">
        <v>587</v>
      </c>
      <c r="AD549" s="33" t="str">
        <f t="shared" si="28"/>
        <v>Friday</v>
      </c>
    </row>
    <row r="550" spans="1:30" x14ac:dyDescent="0.2">
      <c r="A550" s="3">
        <v>40549</v>
      </c>
      <c r="B550" s="2" t="s">
        <v>36</v>
      </c>
      <c r="C550" t="s">
        <v>7</v>
      </c>
      <c r="D550" t="s">
        <v>208</v>
      </c>
      <c r="E550" s="2">
        <v>45805</v>
      </c>
      <c r="F550" s="2" cm="1">
        <f t="array" ref="F550">_xlfn.IFS(B550="Owner Surrender",E550,B550="Stray",E550+6,B550="Stray w/identification",E550+11,B550="Bite",E550+10,B550="Other",Blank)</f>
        <v>45805</v>
      </c>
      <c r="G550" s="2">
        <v>45807</v>
      </c>
      <c r="H550" s="5">
        <f t="shared" si="26"/>
        <v>2</v>
      </c>
      <c r="I550" s="5">
        <f t="shared" si="27"/>
        <v>2</v>
      </c>
      <c r="J550" s="2" t="s">
        <v>31</v>
      </c>
      <c r="K550" s="2" t="s">
        <v>587</v>
      </c>
      <c r="AD550" s="33" t="str">
        <f t="shared" si="28"/>
        <v>Friday</v>
      </c>
    </row>
    <row r="551" spans="1:30" x14ac:dyDescent="0.2">
      <c r="A551" s="3">
        <v>40697</v>
      </c>
      <c r="B551" s="2" t="s">
        <v>38</v>
      </c>
      <c r="C551" t="s">
        <v>7</v>
      </c>
      <c r="D551" t="s">
        <v>207</v>
      </c>
      <c r="E551" s="2">
        <v>45804</v>
      </c>
      <c r="F551" s="2" cm="1">
        <f t="array" ref="F551">_xlfn.IFS(B551="Owner Surrender",E551,B551="Stray",E551+6,B551="Stray w/identification",E551+11,B551="Bite",E551+10,B551="Other",Blank)</f>
        <v>45810</v>
      </c>
      <c r="G551" s="2">
        <v>45812</v>
      </c>
      <c r="H551" s="5">
        <f t="shared" ref="H551:H614" si="29">+G551-E551</f>
        <v>8</v>
      </c>
      <c r="I551" s="5">
        <f t="shared" si="27"/>
        <v>2</v>
      </c>
      <c r="J551" s="2" t="s">
        <v>31</v>
      </c>
      <c r="K551" s="2" t="s">
        <v>587</v>
      </c>
      <c r="AD551" s="33" t="str">
        <f t="shared" si="28"/>
        <v>Wednesday</v>
      </c>
    </row>
    <row r="552" spans="1:30" x14ac:dyDescent="0.2">
      <c r="A552" s="3">
        <v>40698</v>
      </c>
      <c r="B552" s="2" t="s">
        <v>36</v>
      </c>
      <c r="C552" t="s">
        <v>7</v>
      </c>
      <c r="D552" t="s">
        <v>208</v>
      </c>
      <c r="E552" s="2">
        <v>45805</v>
      </c>
      <c r="F552" s="2" cm="1">
        <f t="array" ref="F552">_xlfn.IFS(B552="Owner Surrender",E552,B552="Stray",E552+6,B552="Stray w/identification",E552+11,B552="Bite",E552+10,B552="Other",Blank)</f>
        <v>45805</v>
      </c>
      <c r="G552" s="2">
        <v>45812</v>
      </c>
      <c r="H552" s="5">
        <f t="shared" si="29"/>
        <v>7</v>
      </c>
      <c r="I552" s="5">
        <f t="shared" si="27"/>
        <v>7</v>
      </c>
      <c r="J552" s="2" t="s">
        <v>31</v>
      </c>
      <c r="K552" s="2" t="s">
        <v>587</v>
      </c>
      <c r="AD552" s="33" t="str">
        <f t="shared" si="28"/>
        <v>Wednesday</v>
      </c>
    </row>
    <row r="553" spans="1:30" x14ac:dyDescent="0.2">
      <c r="A553" s="3">
        <v>40699</v>
      </c>
      <c r="B553" s="2" t="s">
        <v>36</v>
      </c>
      <c r="C553" t="s">
        <v>7</v>
      </c>
      <c r="D553" t="s">
        <v>208</v>
      </c>
      <c r="E553" s="2">
        <v>45805</v>
      </c>
      <c r="F553" s="2" cm="1">
        <f t="array" ref="F553">_xlfn.IFS(B553="Owner Surrender",E553,B553="Stray",E553+6,B553="Stray w/identification",E553+11,B553="Bite",E553+10,B553="Other",Blank)</f>
        <v>45805</v>
      </c>
      <c r="G553" s="2">
        <v>45832</v>
      </c>
      <c r="H553" s="5">
        <f t="shared" si="29"/>
        <v>27</v>
      </c>
      <c r="I553" s="5">
        <f t="shared" ref="I553:I616" si="30">G553-F553</f>
        <v>27</v>
      </c>
      <c r="J553" s="2" t="s">
        <v>31</v>
      </c>
      <c r="K553" s="2" t="s">
        <v>587</v>
      </c>
      <c r="AD553" s="33" t="str">
        <f t="shared" si="28"/>
        <v>Tuesday</v>
      </c>
    </row>
    <row r="554" spans="1:30" x14ac:dyDescent="0.2">
      <c r="A554" s="3">
        <v>40701</v>
      </c>
      <c r="B554" s="2" t="s">
        <v>36</v>
      </c>
      <c r="C554" t="s">
        <v>10</v>
      </c>
      <c r="D554" t="s">
        <v>208</v>
      </c>
      <c r="E554" s="2">
        <v>45805</v>
      </c>
      <c r="F554" s="2" cm="1">
        <f t="array" ref="F554">_xlfn.IFS(B554="Owner Surrender",E554,B554="Stray",E554+6,B554="Stray w/identification",E554+11,B554="Bite",E554+10,B554="Other",Blank)</f>
        <v>45805</v>
      </c>
      <c r="G554" s="2">
        <v>45841</v>
      </c>
      <c r="H554" s="5">
        <f t="shared" si="29"/>
        <v>36</v>
      </c>
      <c r="I554" s="5">
        <f t="shared" si="30"/>
        <v>36</v>
      </c>
      <c r="J554" s="2" t="s">
        <v>31</v>
      </c>
      <c r="K554" s="2" t="s">
        <v>587</v>
      </c>
      <c r="AD554" s="33" t="str">
        <f t="shared" si="28"/>
        <v>Thursday</v>
      </c>
    </row>
    <row r="555" spans="1:30" x14ac:dyDescent="0.2">
      <c r="A555" s="3">
        <v>40703</v>
      </c>
      <c r="B555" s="2" t="s">
        <v>38</v>
      </c>
      <c r="C555" t="s">
        <v>7</v>
      </c>
      <c r="D555" t="s">
        <v>208</v>
      </c>
      <c r="E555" s="2">
        <v>45805</v>
      </c>
      <c r="F555" s="2" cm="1">
        <f t="array" ref="F555">_xlfn.IFS(B555="Owner Surrender",E555,B555="Stray",E555+6,B555="Stray w/identification",E555+11,B555="Bite",E555+10,B555="Other",Blank)</f>
        <v>45811</v>
      </c>
      <c r="G555" s="2">
        <v>45807</v>
      </c>
      <c r="H555" s="5">
        <f t="shared" si="29"/>
        <v>2</v>
      </c>
      <c r="I555" s="5">
        <f t="shared" si="30"/>
        <v>-4</v>
      </c>
      <c r="J555" s="2" t="s">
        <v>31</v>
      </c>
      <c r="K555" s="2" t="s">
        <v>588</v>
      </c>
      <c r="M555" t="s">
        <v>397</v>
      </c>
      <c r="AD555" s="33" t="str">
        <f t="shared" si="28"/>
        <v>Friday</v>
      </c>
    </row>
    <row r="556" spans="1:30" x14ac:dyDescent="0.2">
      <c r="A556" s="3">
        <v>40704</v>
      </c>
      <c r="B556" s="2" t="s">
        <v>38</v>
      </c>
      <c r="C556" t="s">
        <v>7</v>
      </c>
      <c r="D556" t="s">
        <v>208</v>
      </c>
      <c r="E556" s="2">
        <v>45805</v>
      </c>
      <c r="F556" s="2" cm="1">
        <f t="array" ref="F556">_xlfn.IFS(B556="Owner Surrender",E556,B556="Stray",E556+6,B556="Stray w/identification",E556+11,B556="Bite",E556+10,B556="Other",Blank)</f>
        <v>45811</v>
      </c>
      <c r="G556" s="2">
        <v>45807</v>
      </c>
      <c r="H556" s="5">
        <f t="shared" si="29"/>
        <v>2</v>
      </c>
      <c r="I556" s="5">
        <f t="shared" si="30"/>
        <v>-4</v>
      </c>
      <c r="J556" s="2" t="s">
        <v>31</v>
      </c>
      <c r="K556" s="2" t="s">
        <v>588</v>
      </c>
      <c r="M556" t="s">
        <v>397</v>
      </c>
      <c r="AD556" s="33" t="str">
        <f t="shared" si="28"/>
        <v>Friday</v>
      </c>
    </row>
    <row r="557" spans="1:30" x14ac:dyDescent="0.2">
      <c r="A557" s="3">
        <v>40705</v>
      </c>
      <c r="B557" s="2" t="s">
        <v>38</v>
      </c>
      <c r="C557" t="s">
        <v>7</v>
      </c>
      <c r="D557" t="s">
        <v>208</v>
      </c>
      <c r="E557" s="2">
        <v>45805</v>
      </c>
      <c r="F557" s="2" cm="1">
        <f t="array" ref="F557">_xlfn.IFS(B557="Owner Surrender",E557,B557="Stray",E557+6,B557="Stray w/identification",E557+11,B557="Bite",E557+10,B557="Other",Blank)</f>
        <v>45811</v>
      </c>
      <c r="G557" s="2">
        <v>45807</v>
      </c>
      <c r="H557" s="5">
        <f t="shared" si="29"/>
        <v>2</v>
      </c>
      <c r="I557" s="5">
        <f t="shared" si="30"/>
        <v>-4</v>
      </c>
      <c r="J557" s="2" t="s">
        <v>31</v>
      </c>
      <c r="K557" s="2" t="s">
        <v>588</v>
      </c>
      <c r="M557" t="s">
        <v>397</v>
      </c>
      <c r="AD557" s="33" t="str">
        <f t="shared" si="28"/>
        <v>Friday</v>
      </c>
    </row>
    <row r="558" spans="1:30" x14ac:dyDescent="0.2">
      <c r="A558" s="3">
        <v>40706</v>
      </c>
      <c r="B558" s="2" t="s">
        <v>38</v>
      </c>
      <c r="C558" t="s">
        <v>7</v>
      </c>
      <c r="D558" t="s">
        <v>208</v>
      </c>
      <c r="E558" s="2">
        <v>45805</v>
      </c>
      <c r="F558" s="2" cm="1">
        <f t="array" ref="F558">_xlfn.IFS(B558="Owner Surrender",E558,B558="Stray",E558+6,B558="Stray w/identification",E558+11,B558="Bite",E558+10,B558="Other",Blank)</f>
        <v>45811</v>
      </c>
      <c r="G558" s="2">
        <v>45812</v>
      </c>
      <c r="H558" s="5">
        <f t="shared" si="29"/>
        <v>7</v>
      </c>
      <c r="I558" s="5">
        <f t="shared" si="30"/>
        <v>1</v>
      </c>
      <c r="J558" s="2" t="s">
        <v>31</v>
      </c>
      <c r="K558" s="2" t="s">
        <v>587</v>
      </c>
      <c r="AD558" s="33" t="str">
        <f t="shared" si="28"/>
        <v>Wednesday</v>
      </c>
    </row>
    <row r="559" spans="1:30" x14ac:dyDescent="0.2">
      <c r="A559" s="3">
        <v>40707</v>
      </c>
      <c r="B559" s="2" t="s">
        <v>38</v>
      </c>
      <c r="C559" t="s">
        <v>7</v>
      </c>
      <c r="D559" t="s">
        <v>208</v>
      </c>
      <c r="E559" s="2">
        <v>45805</v>
      </c>
      <c r="F559" s="2" cm="1">
        <f t="array" ref="F559">_xlfn.IFS(B559="Owner Surrender",E559,B559="Stray",E559+6,B559="Stray w/identification",E559+11,B559="Bite",E559+10,B559="Other",Blank)</f>
        <v>45811</v>
      </c>
      <c r="G559" s="2">
        <v>45812</v>
      </c>
      <c r="H559" s="5">
        <f t="shared" si="29"/>
        <v>7</v>
      </c>
      <c r="I559" s="5">
        <f t="shared" si="30"/>
        <v>1</v>
      </c>
      <c r="J559" s="2" t="s">
        <v>31</v>
      </c>
      <c r="K559" s="2" t="s">
        <v>587</v>
      </c>
      <c r="AD559" s="33" t="str">
        <f t="shared" si="28"/>
        <v>Wednesday</v>
      </c>
    </row>
    <row r="560" spans="1:30" x14ac:dyDescent="0.2">
      <c r="A560" s="3">
        <v>40708</v>
      </c>
      <c r="B560" s="2" t="s">
        <v>38</v>
      </c>
      <c r="C560" t="s">
        <v>7</v>
      </c>
      <c r="D560" t="s">
        <v>208</v>
      </c>
      <c r="E560" s="2">
        <v>45805</v>
      </c>
      <c r="F560" s="2" cm="1">
        <f t="array" ref="F560">_xlfn.IFS(B560="Owner Surrender",E560,B560="Stray",E560+6,B560="Stray w/identification",E560+11,B560="Bite",E560+10,B560="Other",Blank)</f>
        <v>45811</v>
      </c>
      <c r="G560" s="2">
        <v>45812</v>
      </c>
      <c r="H560" s="5">
        <f t="shared" si="29"/>
        <v>7</v>
      </c>
      <c r="I560" s="5">
        <f t="shared" si="30"/>
        <v>1</v>
      </c>
      <c r="J560" s="2" t="s">
        <v>31</v>
      </c>
      <c r="K560" s="2" t="s">
        <v>587</v>
      </c>
      <c r="AD560" s="33" t="str">
        <f t="shared" si="28"/>
        <v>Wednesday</v>
      </c>
    </row>
    <row r="561" spans="1:30" x14ac:dyDescent="0.2">
      <c r="A561" s="3">
        <v>40710</v>
      </c>
      <c r="B561" s="2" t="s">
        <v>36</v>
      </c>
      <c r="C561" t="s">
        <v>7</v>
      </c>
      <c r="D561" t="s">
        <v>207</v>
      </c>
      <c r="E561" s="2">
        <v>45805</v>
      </c>
      <c r="F561" s="2" cm="1">
        <f t="array" ref="F561">_xlfn.IFS(B561="Owner Surrender",E561,B561="Stray",E561+6,B561="Stray w/identification",E561+11,B561="Bite",E561+10,B561="Other",Blank)</f>
        <v>45805</v>
      </c>
      <c r="G561" s="2">
        <v>45807</v>
      </c>
      <c r="H561" s="5">
        <f t="shared" si="29"/>
        <v>2</v>
      </c>
      <c r="I561" s="5">
        <f t="shared" si="30"/>
        <v>2</v>
      </c>
      <c r="J561" s="2" t="s">
        <v>31</v>
      </c>
      <c r="K561" s="2" t="s">
        <v>587</v>
      </c>
      <c r="AD561" s="33" t="str">
        <f t="shared" si="28"/>
        <v>Friday</v>
      </c>
    </row>
    <row r="562" spans="1:30" x14ac:dyDescent="0.2">
      <c r="A562" s="3">
        <v>40711</v>
      </c>
      <c r="B562" s="2" t="s">
        <v>36</v>
      </c>
      <c r="C562" t="s">
        <v>7</v>
      </c>
      <c r="D562" t="s">
        <v>208</v>
      </c>
      <c r="E562" s="2">
        <v>45805</v>
      </c>
      <c r="F562" s="2" cm="1">
        <f t="array" ref="F562">_xlfn.IFS(B562="Owner Surrender",E562,B562="Stray",E562+6,B562="Stray w/identification",E562+11,B562="Bite",E562+10,B562="Other",Blank)</f>
        <v>45805</v>
      </c>
      <c r="G562" s="2">
        <v>45807</v>
      </c>
      <c r="H562" s="5">
        <f t="shared" si="29"/>
        <v>2</v>
      </c>
      <c r="I562" s="5">
        <f t="shared" si="30"/>
        <v>2</v>
      </c>
      <c r="J562" s="2" t="s">
        <v>31</v>
      </c>
      <c r="K562" s="2" t="s">
        <v>587</v>
      </c>
      <c r="AD562" s="33" t="str">
        <f t="shared" si="28"/>
        <v>Friday</v>
      </c>
    </row>
    <row r="563" spans="1:30" x14ac:dyDescent="0.2">
      <c r="A563" s="3">
        <v>40712</v>
      </c>
      <c r="B563" s="2" t="s">
        <v>36</v>
      </c>
      <c r="C563" t="s">
        <v>7</v>
      </c>
      <c r="D563" t="s">
        <v>208</v>
      </c>
      <c r="E563" s="2">
        <v>45805</v>
      </c>
      <c r="F563" s="2" cm="1">
        <f t="array" ref="F563">_xlfn.IFS(B563="Owner Surrender",E563,B563="Stray",E563+6,B563="Stray w/identification",E563+11,B563="Bite",E563+10,B563="Other",Blank)</f>
        <v>45805</v>
      </c>
      <c r="G563" s="2">
        <v>45807</v>
      </c>
      <c r="H563" s="5">
        <f t="shared" si="29"/>
        <v>2</v>
      </c>
      <c r="I563" s="5">
        <f t="shared" si="30"/>
        <v>2</v>
      </c>
      <c r="J563" s="2" t="s">
        <v>31</v>
      </c>
      <c r="K563" s="2" t="s">
        <v>587</v>
      </c>
      <c r="AD563" s="33" t="str">
        <f t="shared" si="28"/>
        <v>Friday</v>
      </c>
    </row>
    <row r="564" spans="1:30" x14ac:dyDescent="0.2">
      <c r="A564" s="3">
        <v>40713</v>
      </c>
      <c r="B564" s="2" t="s">
        <v>36</v>
      </c>
      <c r="C564" t="s">
        <v>7</v>
      </c>
      <c r="D564" t="s">
        <v>208</v>
      </c>
      <c r="E564" s="2">
        <v>45805</v>
      </c>
      <c r="F564" s="2" cm="1">
        <f t="array" ref="F564">_xlfn.IFS(B564="Owner Surrender",E564,B564="Stray",E564+6,B564="Stray w/identification",E564+11,B564="Bite",E564+10,B564="Other",Blank)</f>
        <v>45805</v>
      </c>
      <c r="G564" s="2">
        <v>45807</v>
      </c>
      <c r="H564" s="5">
        <f t="shared" si="29"/>
        <v>2</v>
      </c>
      <c r="I564" s="5">
        <f t="shared" si="30"/>
        <v>2</v>
      </c>
      <c r="J564" s="2" t="s">
        <v>31</v>
      </c>
      <c r="K564" s="2" t="s">
        <v>587</v>
      </c>
      <c r="AD564" s="33" t="str">
        <f t="shared" si="28"/>
        <v>Friday</v>
      </c>
    </row>
    <row r="565" spans="1:30" x14ac:dyDescent="0.2">
      <c r="A565" s="3">
        <v>40715</v>
      </c>
      <c r="B565" s="2" t="s">
        <v>38</v>
      </c>
      <c r="C565" t="s">
        <v>7</v>
      </c>
      <c r="D565" t="s">
        <v>208</v>
      </c>
      <c r="E565" s="2">
        <v>45805</v>
      </c>
      <c r="F565" s="2" cm="1">
        <f t="array" ref="F565">_xlfn.IFS(B565="Owner Surrender",E565,B565="Stray",E565+6,B565="Stray w/identification",E565+11,B565="Bite",E565+10,B565="Other",Blank)</f>
        <v>45811</v>
      </c>
      <c r="G565" s="2">
        <v>45807</v>
      </c>
      <c r="H565" s="5">
        <f t="shared" si="29"/>
        <v>2</v>
      </c>
      <c r="I565" s="5">
        <f t="shared" si="30"/>
        <v>-4</v>
      </c>
      <c r="J565" s="2" t="s">
        <v>31</v>
      </c>
      <c r="K565" s="2" t="s">
        <v>588</v>
      </c>
      <c r="M565" t="s">
        <v>397</v>
      </c>
      <c r="AD565" s="33" t="str">
        <f t="shared" si="28"/>
        <v>Friday</v>
      </c>
    </row>
    <row r="566" spans="1:30" x14ac:dyDescent="0.2">
      <c r="A566" s="3">
        <v>40716</v>
      </c>
      <c r="B566" s="2" t="s">
        <v>38</v>
      </c>
      <c r="C566" t="s">
        <v>7</v>
      </c>
      <c r="D566" t="s">
        <v>207</v>
      </c>
      <c r="E566" s="2">
        <v>45805</v>
      </c>
      <c r="F566" s="2" cm="1">
        <f t="array" ref="F566">_xlfn.IFS(B566="Owner Surrender",E566,B566="Stray",E566+6,B566="Stray w/identification",E566+11,B566="Bite",E566+10,B566="Other",Blank)</f>
        <v>45811</v>
      </c>
      <c r="G566" s="2">
        <v>45812</v>
      </c>
      <c r="H566" s="5">
        <f t="shared" si="29"/>
        <v>7</v>
      </c>
      <c r="I566" s="5">
        <f t="shared" si="30"/>
        <v>1</v>
      </c>
      <c r="J566" s="2" t="s">
        <v>31</v>
      </c>
      <c r="K566" s="2" t="s">
        <v>24</v>
      </c>
      <c r="M566" t="s">
        <v>400</v>
      </c>
      <c r="AD566" s="33" t="str">
        <f t="shared" si="28"/>
        <v>Wednesday</v>
      </c>
    </row>
    <row r="567" spans="1:30" x14ac:dyDescent="0.2">
      <c r="A567" s="3">
        <v>40718</v>
      </c>
      <c r="B567" s="2" t="s">
        <v>38</v>
      </c>
      <c r="C567" t="s">
        <v>10</v>
      </c>
      <c r="D567" t="s">
        <v>207</v>
      </c>
      <c r="E567" s="2">
        <v>45806</v>
      </c>
      <c r="F567" s="2" cm="1">
        <f t="array" ref="F567">_xlfn.IFS(B567="Owner Surrender",E567,B567="Stray",E567+6,B567="Stray w/identification",E567+11,B567="Bite",E567+10,B567="Other",Blank)</f>
        <v>45812</v>
      </c>
      <c r="G567" s="2">
        <v>45814</v>
      </c>
      <c r="H567" s="5">
        <f t="shared" si="29"/>
        <v>8</v>
      </c>
      <c r="I567" s="5">
        <f t="shared" si="30"/>
        <v>2</v>
      </c>
      <c r="J567" s="2" t="s">
        <v>31</v>
      </c>
      <c r="K567" s="2" t="s">
        <v>587</v>
      </c>
      <c r="AD567" s="33" t="str">
        <f t="shared" si="28"/>
        <v>Friday</v>
      </c>
    </row>
    <row r="568" spans="1:30" x14ac:dyDescent="0.2">
      <c r="A568" s="3">
        <v>40721</v>
      </c>
      <c r="B568" s="2" t="s">
        <v>38</v>
      </c>
      <c r="C568" t="s">
        <v>10</v>
      </c>
      <c r="D568" t="s">
        <v>207</v>
      </c>
      <c r="E568" s="2">
        <v>45806</v>
      </c>
      <c r="F568" s="2" cm="1">
        <f t="array" ref="F568">_xlfn.IFS(B568="Owner Surrender",E568,B568="Stray",E568+6,B568="Stray w/identification",E568+11,B568="Bite",E568+10,B568="Other",Blank)</f>
        <v>45812</v>
      </c>
      <c r="G568" s="2">
        <v>45814</v>
      </c>
      <c r="H568" s="5">
        <f t="shared" si="29"/>
        <v>8</v>
      </c>
      <c r="I568" s="5">
        <f t="shared" si="30"/>
        <v>2</v>
      </c>
      <c r="J568" s="2" t="s">
        <v>31</v>
      </c>
      <c r="K568" s="2" t="s">
        <v>587</v>
      </c>
      <c r="AD568" s="33" t="str">
        <f t="shared" si="28"/>
        <v>Friday</v>
      </c>
    </row>
    <row r="569" spans="1:30" x14ac:dyDescent="0.2">
      <c r="A569" s="3">
        <v>40722</v>
      </c>
      <c r="B569" s="2" t="s">
        <v>38</v>
      </c>
      <c r="C569" t="s">
        <v>7</v>
      </c>
      <c r="D569" t="s">
        <v>208</v>
      </c>
      <c r="E569" s="2">
        <v>45806</v>
      </c>
      <c r="F569" s="2" cm="1">
        <f t="array" ref="F569">_xlfn.IFS(B569="Owner Surrender",E569,B569="Stray",E569+6,B569="Stray w/identification",E569+11,B569="Bite",E569+10,B569="Other",Blank)</f>
        <v>45812</v>
      </c>
      <c r="G569" s="2">
        <v>45817</v>
      </c>
      <c r="H569" s="5">
        <f t="shared" si="29"/>
        <v>11</v>
      </c>
      <c r="I569" s="5">
        <f t="shared" si="30"/>
        <v>5</v>
      </c>
      <c r="J569" s="2" t="s">
        <v>31</v>
      </c>
      <c r="K569" s="2" t="s">
        <v>587</v>
      </c>
      <c r="AD569" s="33" t="str">
        <f t="shared" si="28"/>
        <v>Monday</v>
      </c>
    </row>
    <row r="570" spans="1:30" x14ac:dyDescent="0.2">
      <c r="A570" s="3">
        <v>40723</v>
      </c>
      <c r="B570" s="2" t="s">
        <v>38</v>
      </c>
      <c r="C570" t="s">
        <v>10</v>
      </c>
      <c r="D570" t="s">
        <v>208</v>
      </c>
      <c r="E570" s="2">
        <v>45806</v>
      </c>
      <c r="F570" s="2" cm="1">
        <f t="array" ref="F570">_xlfn.IFS(B570="Owner Surrender",E570,B570="Stray",E570+6,B570="Stray w/identification",E570+11,B570="Bite",E570+10,B570="Other",Blank)</f>
        <v>45812</v>
      </c>
      <c r="G570" s="2">
        <v>45817</v>
      </c>
      <c r="H570" s="5">
        <f t="shared" si="29"/>
        <v>11</v>
      </c>
      <c r="I570" s="5">
        <f t="shared" si="30"/>
        <v>5</v>
      </c>
      <c r="J570" s="2" t="s">
        <v>31</v>
      </c>
      <c r="K570" s="2" t="s">
        <v>587</v>
      </c>
      <c r="AD570" s="33" t="str">
        <f t="shared" si="28"/>
        <v>Monday</v>
      </c>
    </row>
    <row r="571" spans="1:30" x14ac:dyDescent="0.2">
      <c r="A571" s="3">
        <v>40724</v>
      </c>
      <c r="B571" s="2" t="s">
        <v>38</v>
      </c>
      <c r="C571" t="s">
        <v>10</v>
      </c>
      <c r="D571" t="s">
        <v>208</v>
      </c>
      <c r="E571" s="2">
        <v>45806</v>
      </c>
      <c r="F571" s="2" cm="1">
        <f t="array" ref="F571">_xlfn.IFS(B571="Owner Surrender",E571,B571="Stray",E571+6,B571="Stray w/identification",E571+11,B571="Bite",E571+10,B571="Other",Blank)</f>
        <v>45812</v>
      </c>
      <c r="G571" s="2">
        <v>45817</v>
      </c>
      <c r="H571" s="5">
        <f t="shared" si="29"/>
        <v>11</v>
      </c>
      <c r="I571" s="5">
        <f t="shared" si="30"/>
        <v>5</v>
      </c>
      <c r="J571" s="2" t="s">
        <v>31</v>
      </c>
      <c r="K571" s="2" t="s">
        <v>587</v>
      </c>
      <c r="AD571" s="33" t="str">
        <f t="shared" si="28"/>
        <v>Monday</v>
      </c>
    </row>
    <row r="572" spans="1:30" x14ac:dyDescent="0.2">
      <c r="A572" s="3">
        <v>40727</v>
      </c>
      <c r="B572" s="2" t="s">
        <v>38</v>
      </c>
      <c r="C572" t="s">
        <v>10</v>
      </c>
      <c r="D572" t="s">
        <v>208</v>
      </c>
      <c r="E572" s="2">
        <v>45806</v>
      </c>
      <c r="F572" s="2" cm="1">
        <f t="array" ref="F572">_xlfn.IFS(B572="Owner Surrender",E572,B572="Stray",E572+6,B572="Stray w/identification",E572+11,B572="Bite",E572+10,B572="Other",Blank)</f>
        <v>45812</v>
      </c>
      <c r="G572" s="2">
        <v>45817</v>
      </c>
      <c r="H572" s="5">
        <f t="shared" si="29"/>
        <v>11</v>
      </c>
      <c r="I572" s="5">
        <f t="shared" si="30"/>
        <v>5</v>
      </c>
      <c r="J572" s="2" t="s">
        <v>31</v>
      </c>
      <c r="K572" s="2" t="s">
        <v>587</v>
      </c>
      <c r="AD572" s="33" t="str">
        <f t="shared" si="28"/>
        <v>Monday</v>
      </c>
    </row>
    <row r="573" spans="1:30" x14ac:dyDescent="0.2">
      <c r="A573" s="3">
        <v>40728</v>
      </c>
      <c r="B573" s="2" t="s">
        <v>38</v>
      </c>
      <c r="C573" t="s">
        <v>10</v>
      </c>
      <c r="D573" t="s">
        <v>208</v>
      </c>
      <c r="E573" s="2">
        <v>45806</v>
      </c>
      <c r="F573" s="2" cm="1">
        <f t="array" ref="F573">_xlfn.IFS(B573="Owner Surrender",E573,B573="Stray",E573+6,B573="Stray w/identification",E573+11,B573="Bite",E573+10,B573="Other",Blank)</f>
        <v>45812</v>
      </c>
      <c r="G573" s="2">
        <v>45817</v>
      </c>
      <c r="H573" s="5">
        <f t="shared" si="29"/>
        <v>11</v>
      </c>
      <c r="I573" s="5">
        <f t="shared" si="30"/>
        <v>5</v>
      </c>
      <c r="J573" s="2" t="s">
        <v>31</v>
      </c>
      <c r="K573" s="2" t="s">
        <v>587</v>
      </c>
      <c r="AD573" s="33" t="str">
        <f t="shared" si="28"/>
        <v>Monday</v>
      </c>
    </row>
    <row r="574" spans="1:30" x14ac:dyDescent="0.2">
      <c r="A574" s="3">
        <v>40729</v>
      </c>
      <c r="B574" s="2" t="s">
        <v>38</v>
      </c>
      <c r="C574" t="s">
        <v>10</v>
      </c>
      <c r="D574" t="s">
        <v>208</v>
      </c>
      <c r="E574" s="2">
        <v>45806</v>
      </c>
      <c r="F574" s="2" cm="1">
        <f t="array" ref="F574">_xlfn.IFS(B574="Owner Surrender",E574,B574="Stray",E574+6,B574="Stray w/identification",E574+11,B574="Bite",E574+10,B574="Other",Blank)</f>
        <v>45812</v>
      </c>
      <c r="G574" s="2">
        <v>45817</v>
      </c>
      <c r="H574" s="5">
        <f t="shared" si="29"/>
        <v>11</v>
      </c>
      <c r="I574" s="5">
        <f t="shared" si="30"/>
        <v>5</v>
      </c>
      <c r="J574" s="2" t="s">
        <v>31</v>
      </c>
      <c r="K574" s="2" t="s">
        <v>587</v>
      </c>
      <c r="AD574" s="33" t="str">
        <f t="shared" si="28"/>
        <v>Monday</v>
      </c>
    </row>
    <row r="575" spans="1:30" x14ac:dyDescent="0.2">
      <c r="A575" s="3">
        <v>40734</v>
      </c>
      <c r="B575" s="2" t="s">
        <v>38</v>
      </c>
      <c r="C575" t="s">
        <v>7</v>
      </c>
      <c r="D575" t="s">
        <v>207</v>
      </c>
      <c r="E575" s="2">
        <v>45806</v>
      </c>
      <c r="F575" s="2" cm="1">
        <f t="array" ref="F575">_xlfn.IFS(B575="Owner Surrender",E575,B575="Stray",E575+6,B575="Stray w/identification",E575+11,B575="Bite",E575+10,B575="Other",Blank)</f>
        <v>45812</v>
      </c>
      <c r="G575" s="2">
        <v>45806</v>
      </c>
      <c r="H575" s="5">
        <f t="shared" si="29"/>
        <v>0</v>
      </c>
      <c r="I575" s="5">
        <f t="shared" si="30"/>
        <v>-6</v>
      </c>
      <c r="J575" s="2" t="s">
        <v>31</v>
      </c>
      <c r="K575" s="2" t="s">
        <v>588</v>
      </c>
      <c r="M575" t="s">
        <v>396</v>
      </c>
      <c r="AD575" s="33" t="str">
        <f t="shared" si="28"/>
        <v>Thursday</v>
      </c>
    </row>
    <row r="576" spans="1:30" x14ac:dyDescent="0.2">
      <c r="A576" s="3">
        <v>40735</v>
      </c>
      <c r="B576" s="2" t="s">
        <v>38</v>
      </c>
      <c r="C576" t="s">
        <v>7</v>
      </c>
      <c r="D576" t="s">
        <v>208</v>
      </c>
      <c r="E576" s="2">
        <v>45807</v>
      </c>
      <c r="F576" s="2" cm="1">
        <f t="array" ref="F576">_xlfn.IFS(B576="Owner Surrender",E576,B576="Stray",E576+6,B576="Stray w/identification",E576+11,B576="Bite",E576+10,B576="Other",Blank)</f>
        <v>45813</v>
      </c>
      <c r="G576" s="2">
        <v>45810</v>
      </c>
      <c r="H576" s="5">
        <f t="shared" si="29"/>
        <v>3</v>
      </c>
      <c r="I576" s="5">
        <f t="shared" si="30"/>
        <v>-3</v>
      </c>
      <c r="J576" s="2" t="s">
        <v>31</v>
      </c>
      <c r="K576" s="2" t="s">
        <v>588</v>
      </c>
      <c r="M576" t="s">
        <v>399</v>
      </c>
      <c r="AD576" s="33" t="str">
        <f t="shared" si="28"/>
        <v>Monday</v>
      </c>
    </row>
    <row r="577" spans="1:30" x14ac:dyDescent="0.2">
      <c r="A577" s="3">
        <v>40736</v>
      </c>
      <c r="B577" s="2" t="s">
        <v>38</v>
      </c>
      <c r="C577" t="s">
        <v>7</v>
      </c>
      <c r="D577" t="s">
        <v>208</v>
      </c>
      <c r="E577" s="2">
        <v>45807</v>
      </c>
      <c r="F577" s="2" cm="1">
        <f t="array" ref="F577">_xlfn.IFS(B577="Owner Surrender",E577,B577="Stray",E577+6,B577="Stray w/identification",E577+11,B577="Bite",E577+10,B577="Other",Blank)</f>
        <v>45813</v>
      </c>
      <c r="G577" s="2">
        <v>45810</v>
      </c>
      <c r="H577" s="5">
        <f t="shared" si="29"/>
        <v>3</v>
      </c>
      <c r="I577" s="5">
        <f t="shared" si="30"/>
        <v>-3</v>
      </c>
      <c r="J577" s="2" t="s">
        <v>31</v>
      </c>
      <c r="K577" s="2" t="s">
        <v>588</v>
      </c>
      <c r="M577" t="s">
        <v>399</v>
      </c>
      <c r="AD577" s="33" t="str">
        <f t="shared" si="28"/>
        <v>Monday</v>
      </c>
    </row>
    <row r="578" spans="1:30" x14ac:dyDescent="0.2">
      <c r="A578" s="3">
        <v>40737</v>
      </c>
      <c r="B578" s="2" t="s">
        <v>38</v>
      </c>
      <c r="C578" t="s">
        <v>7</v>
      </c>
      <c r="D578" t="s">
        <v>208</v>
      </c>
      <c r="E578" s="2">
        <v>45807</v>
      </c>
      <c r="F578" s="2" cm="1">
        <f t="array" ref="F578">_xlfn.IFS(B578="Owner Surrender",E578,B578="Stray",E578+6,B578="Stray w/identification",E578+11,B578="Bite",E578+10,B578="Other",Blank)</f>
        <v>45813</v>
      </c>
      <c r="G578" s="2">
        <v>45810</v>
      </c>
      <c r="H578" s="5">
        <f t="shared" si="29"/>
        <v>3</v>
      </c>
      <c r="I578" s="5">
        <f t="shared" si="30"/>
        <v>-3</v>
      </c>
      <c r="J578" s="2" t="s">
        <v>31</v>
      </c>
      <c r="K578" s="2" t="s">
        <v>588</v>
      </c>
      <c r="M578" t="s">
        <v>399</v>
      </c>
      <c r="AD578" s="33" t="str">
        <f t="shared" si="28"/>
        <v>Monday</v>
      </c>
    </row>
    <row r="579" spans="1:30" x14ac:dyDescent="0.2">
      <c r="A579" s="3">
        <v>40738</v>
      </c>
      <c r="B579" s="2" t="s">
        <v>38</v>
      </c>
      <c r="C579" t="s">
        <v>7</v>
      </c>
      <c r="D579" t="s">
        <v>208</v>
      </c>
      <c r="E579" s="2">
        <v>45807</v>
      </c>
      <c r="F579" s="2" cm="1">
        <f t="array" ref="F579">_xlfn.IFS(B579="Owner Surrender",E579,B579="Stray",E579+6,B579="Stray w/identification",E579+11,B579="Bite",E579+10,B579="Other",Blank)</f>
        <v>45813</v>
      </c>
      <c r="G579" s="2">
        <v>45810</v>
      </c>
      <c r="H579" s="5">
        <f t="shared" si="29"/>
        <v>3</v>
      </c>
      <c r="I579" s="5">
        <f t="shared" si="30"/>
        <v>-3</v>
      </c>
      <c r="J579" s="2" t="s">
        <v>31</v>
      </c>
      <c r="K579" s="2" t="s">
        <v>588</v>
      </c>
      <c r="M579" t="s">
        <v>399</v>
      </c>
      <c r="AD579" s="33" t="str">
        <f t="shared" si="28"/>
        <v>Monday</v>
      </c>
    </row>
    <row r="580" spans="1:30" x14ac:dyDescent="0.2">
      <c r="A580" s="3">
        <v>40739</v>
      </c>
      <c r="B580" s="2" t="s">
        <v>38</v>
      </c>
      <c r="C580" t="s">
        <v>7</v>
      </c>
      <c r="D580" t="s">
        <v>208</v>
      </c>
      <c r="E580" s="2">
        <v>45807</v>
      </c>
      <c r="F580" s="2" cm="1">
        <f t="array" ref="F580">_xlfn.IFS(B580="Owner Surrender",E580,B580="Stray",E580+6,B580="Stray w/identification",E580+11,B580="Bite",E580+10,B580="Other",Blank)</f>
        <v>45813</v>
      </c>
      <c r="G580" s="2">
        <v>45814</v>
      </c>
      <c r="H580" s="5">
        <f t="shared" si="29"/>
        <v>7</v>
      </c>
      <c r="I580" s="5">
        <f t="shared" si="30"/>
        <v>1</v>
      </c>
      <c r="J580" s="2" t="s">
        <v>31</v>
      </c>
      <c r="K580" s="2" t="s">
        <v>587</v>
      </c>
      <c r="AD580" s="33" t="str">
        <f t="shared" ref="AD580:AD643" si="31">TEXT(G580,"DDDD")</f>
        <v>Friday</v>
      </c>
    </row>
    <row r="581" spans="1:30" x14ac:dyDescent="0.2">
      <c r="A581" s="3">
        <v>40740</v>
      </c>
      <c r="B581" s="2" t="s">
        <v>38</v>
      </c>
      <c r="C581" t="s">
        <v>7</v>
      </c>
      <c r="D581" t="s">
        <v>208</v>
      </c>
      <c r="E581" s="2">
        <v>45807</v>
      </c>
      <c r="F581" s="2" cm="1">
        <f t="array" ref="F581">_xlfn.IFS(B581="Owner Surrender",E581,B581="Stray",E581+6,B581="Stray w/identification",E581+11,B581="Bite",E581+10,B581="Other",Blank)</f>
        <v>45813</v>
      </c>
      <c r="G581" s="2">
        <v>45814</v>
      </c>
      <c r="H581" s="5">
        <f t="shared" si="29"/>
        <v>7</v>
      </c>
      <c r="I581" s="5">
        <f t="shared" si="30"/>
        <v>1</v>
      </c>
      <c r="J581" s="2" t="s">
        <v>31</v>
      </c>
      <c r="K581" s="2" t="s">
        <v>587</v>
      </c>
      <c r="AD581" s="33" t="str">
        <f t="shared" si="31"/>
        <v>Friday</v>
      </c>
    </row>
    <row r="582" spans="1:30" x14ac:dyDescent="0.2">
      <c r="A582" s="3">
        <v>40741</v>
      </c>
      <c r="B582" s="2" t="s">
        <v>38</v>
      </c>
      <c r="C582" t="s">
        <v>7</v>
      </c>
      <c r="D582" t="s">
        <v>208</v>
      </c>
      <c r="E582" s="2">
        <v>45807</v>
      </c>
      <c r="F582" s="2" cm="1">
        <f t="array" ref="F582">_xlfn.IFS(B582="Owner Surrender",E582,B582="Stray",E582+6,B582="Stray w/identification",E582+11,B582="Bite",E582+10,B582="Other",Blank)</f>
        <v>45813</v>
      </c>
      <c r="G582" s="2">
        <v>45814</v>
      </c>
      <c r="H582" s="5">
        <f t="shared" si="29"/>
        <v>7</v>
      </c>
      <c r="I582" s="5">
        <f t="shared" si="30"/>
        <v>1</v>
      </c>
      <c r="J582" s="2" t="s">
        <v>31</v>
      </c>
      <c r="K582" s="2" t="s">
        <v>587</v>
      </c>
      <c r="AD582" s="33" t="str">
        <f t="shared" si="31"/>
        <v>Friday</v>
      </c>
    </row>
    <row r="583" spans="1:30" x14ac:dyDescent="0.2">
      <c r="A583" s="3">
        <v>40742</v>
      </c>
      <c r="B583" s="2" t="s">
        <v>38</v>
      </c>
      <c r="C583" t="s">
        <v>7</v>
      </c>
      <c r="D583" t="s">
        <v>208</v>
      </c>
      <c r="E583" s="2">
        <v>45807</v>
      </c>
      <c r="F583" s="2" cm="1">
        <f t="array" ref="F583">_xlfn.IFS(B583="Owner Surrender",E583,B583="Stray",E583+6,B583="Stray w/identification",E583+11,B583="Bite",E583+10,B583="Other",Blank)</f>
        <v>45813</v>
      </c>
      <c r="G583" s="2">
        <v>45814</v>
      </c>
      <c r="H583" s="5">
        <f t="shared" si="29"/>
        <v>7</v>
      </c>
      <c r="I583" s="5">
        <f t="shared" si="30"/>
        <v>1</v>
      </c>
      <c r="J583" s="2" t="s">
        <v>31</v>
      </c>
      <c r="K583" s="2" t="s">
        <v>587</v>
      </c>
      <c r="AD583" s="33" t="str">
        <f t="shared" si="31"/>
        <v>Friday</v>
      </c>
    </row>
    <row r="584" spans="1:30" x14ac:dyDescent="0.2">
      <c r="A584" s="3">
        <v>40743</v>
      </c>
      <c r="B584" s="2" t="s">
        <v>38</v>
      </c>
      <c r="C584" t="s">
        <v>7</v>
      </c>
      <c r="D584" t="s">
        <v>208</v>
      </c>
      <c r="E584" s="2">
        <v>45807</v>
      </c>
      <c r="F584" s="2" cm="1">
        <f t="array" ref="F584">_xlfn.IFS(B584="Owner Surrender",E584,B584="Stray",E584+6,B584="Stray w/identification",E584+11,B584="Bite",E584+10,B584="Other",Blank)</f>
        <v>45813</v>
      </c>
      <c r="G584" s="2">
        <v>45814</v>
      </c>
      <c r="H584" s="5">
        <f t="shared" si="29"/>
        <v>7</v>
      </c>
      <c r="I584" s="5">
        <f t="shared" si="30"/>
        <v>1</v>
      </c>
      <c r="J584" s="2" t="s">
        <v>31</v>
      </c>
      <c r="K584" s="2" t="s">
        <v>587</v>
      </c>
      <c r="AD584" s="33" t="str">
        <f t="shared" si="31"/>
        <v>Friday</v>
      </c>
    </row>
    <row r="585" spans="1:30" x14ac:dyDescent="0.2">
      <c r="A585" s="3">
        <v>40744</v>
      </c>
      <c r="B585" s="2" t="s">
        <v>38</v>
      </c>
      <c r="C585" t="s">
        <v>7</v>
      </c>
      <c r="D585" t="s">
        <v>208</v>
      </c>
      <c r="E585" s="2">
        <v>45807</v>
      </c>
      <c r="F585" s="2" cm="1">
        <f t="array" ref="F585">_xlfn.IFS(B585="Owner Surrender",E585,B585="Stray",E585+6,B585="Stray w/identification",E585+11,B585="Bite",E585+10,B585="Other",Blank)</f>
        <v>45813</v>
      </c>
      <c r="G585" s="2">
        <v>45814</v>
      </c>
      <c r="H585" s="5">
        <f t="shared" si="29"/>
        <v>7</v>
      </c>
      <c r="I585" s="5">
        <f t="shared" si="30"/>
        <v>1</v>
      </c>
      <c r="J585" s="2" t="s">
        <v>31</v>
      </c>
      <c r="K585" s="2" t="s">
        <v>587</v>
      </c>
      <c r="AD585" s="33" t="str">
        <f t="shared" si="31"/>
        <v>Friday</v>
      </c>
    </row>
    <row r="586" spans="1:30" x14ac:dyDescent="0.2">
      <c r="A586" s="3">
        <v>40745</v>
      </c>
      <c r="B586" s="2" t="s">
        <v>38</v>
      </c>
      <c r="C586" t="s">
        <v>7</v>
      </c>
      <c r="D586" t="s">
        <v>208</v>
      </c>
      <c r="E586" s="2">
        <v>45807</v>
      </c>
      <c r="F586" s="2" cm="1">
        <f t="array" ref="F586">_xlfn.IFS(B586="Owner Surrender",E586,B586="Stray",E586+6,B586="Stray w/identification",E586+11,B586="Bite",E586+10,B586="Other",Blank)</f>
        <v>45813</v>
      </c>
      <c r="G586" s="2">
        <v>45814</v>
      </c>
      <c r="H586" s="5">
        <f t="shared" si="29"/>
        <v>7</v>
      </c>
      <c r="I586" s="5">
        <f t="shared" si="30"/>
        <v>1</v>
      </c>
      <c r="J586" s="2" t="s">
        <v>31</v>
      </c>
      <c r="K586" s="2" t="s">
        <v>587</v>
      </c>
      <c r="AD586" s="33" t="str">
        <f t="shared" si="31"/>
        <v>Friday</v>
      </c>
    </row>
    <row r="587" spans="1:30" x14ac:dyDescent="0.2">
      <c r="A587" s="3">
        <v>40746</v>
      </c>
      <c r="B587" s="2" t="s">
        <v>38</v>
      </c>
      <c r="C587" t="s">
        <v>7</v>
      </c>
      <c r="D587" t="s">
        <v>207</v>
      </c>
      <c r="E587" s="2">
        <v>45807</v>
      </c>
      <c r="F587" s="2" cm="1">
        <f t="array" ref="F587">_xlfn.IFS(B587="Owner Surrender",E587,B587="Stray",E587+6,B587="Stray w/identification",E587+11,B587="Bite",E587+10,B587="Other",Blank)</f>
        <v>45813</v>
      </c>
      <c r="G587" s="2">
        <v>45814</v>
      </c>
      <c r="H587" s="5">
        <f t="shared" si="29"/>
        <v>7</v>
      </c>
      <c r="I587" s="5">
        <f t="shared" si="30"/>
        <v>1</v>
      </c>
      <c r="J587" s="2" t="s">
        <v>31</v>
      </c>
      <c r="K587" s="2" t="s">
        <v>587</v>
      </c>
      <c r="AD587" s="33" t="str">
        <f t="shared" si="31"/>
        <v>Friday</v>
      </c>
    </row>
    <row r="588" spans="1:30" x14ac:dyDescent="0.2">
      <c r="A588" s="3">
        <v>40747</v>
      </c>
      <c r="B588" s="2" t="s">
        <v>38</v>
      </c>
      <c r="C588" t="s">
        <v>10</v>
      </c>
      <c r="D588" t="s">
        <v>207</v>
      </c>
      <c r="E588" s="2">
        <v>45807</v>
      </c>
      <c r="F588" s="2" cm="1">
        <f t="array" ref="F588">_xlfn.IFS(B588="Owner Surrender",E588,B588="Stray",E588+6,B588="Stray w/identification",E588+11,B588="Bite",E588+10,B588="Other",Blank)</f>
        <v>45813</v>
      </c>
      <c r="G588" s="2">
        <v>45814</v>
      </c>
      <c r="H588" s="5">
        <f t="shared" si="29"/>
        <v>7</v>
      </c>
      <c r="I588" s="5">
        <f t="shared" si="30"/>
        <v>1</v>
      </c>
      <c r="J588" s="2" t="s">
        <v>31</v>
      </c>
      <c r="K588" s="2" t="s">
        <v>587</v>
      </c>
      <c r="AD588" s="33" t="str">
        <f t="shared" si="31"/>
        <v>Friday</v>
      </c>
    </row>
    <row r="589" spans="1:30" x14ac:dyDescent="0.2">
      <c r="A589" s="3">
        <v>40748</v>
      </c>
      <c r="B589" s="2" t="s">
        <v>36</v>
      </c>
      <c r="C589" t="s">
        <v>7</v>
      </c>
      <c r="D589" t="s">
        <v>209</v>
      </c>
      <c r="E589" s="2">
        <v>45807</v>
      </c>
      <c r="F589" s="2" cm="1">
        <f t="array" ref="F589">_xlfn.IFS(B589="Owner Surrender",E589,B589="Stray",E589+6,B589="Stray w/identification",E589+11,B589="Bite",E589+10,B589="Other",Blank)</f>
        <v>45807</v>
      </c>
      <c r="G589" s="2">
        <v>45810</v>
      </c>
      <c r="H589" s="5">
        <f t="shared" si="29"/>
        <v>3</v>
      </c>
      <c r="I589" s="5">
        <f t="shared" si="30"/>
        <v>3</v>
      </c>
      <c r="J589" s="2" t="s">
        <v>11</v>
      </c>
      <c r="K589" s="2" t="s">
        <v>586</v>
      </c>
      <c r="L589" t="s">
        <v>409</v>
      </c>
      <c r="AD589" s="33" t="str">
        <f t="shared" si="31"/>
        <v>Monday</v>
      </c>
    </row>
    <row r="590" spans="1:30" x14ac:dyDescent="0.2">
      <c r="A590" s="3">
        <v>40749</v>
      </c>
      <c r="B590" s="2" t="s">
        <v>38</v>
      </c>
      <c r="C590" t="s">
        <v>15</v>
      </c>
      <c r="D590" t="s">
        <v>207</v>
      </c>
      <c r="E590" s="2">
        <v>45808</v>
      </c>
      <c r="F590" s="2" cm="1">
        <f t="array" ref="F590">_xlfn.IFS(B590="Owner Surrender",E590,B590="Stray",E590+6,B590="Stray w/identification",E590+11,B590="Bite",E590+10,B590="Other",Blank)</f>
        <v>45814</v>
      </c>
      <c r="G590" s="2">
        <v>45817</v>
      </c>
      <c r="H590" s="5">
        <f t="shared" si="29"/>
        <v>9</v>
      </c>
      <c r="I590" s="5">
        <f t="shared" si="30"/>
        <v>3</v>
      </c>
      <c r="J590" s="2" t="s">
        <v>11</v>
      </c>
      <c r="K590" s="2" t="s">
        <v>586</v>
      </c>
      <c r="L590" t="s">
        <v>408</v>
      </c>
      <c r="AD590" s="33" t="str">
        <f t="shared" si="31"/>
        <v>Monday</v>
      </c>
    </row>
    <row r="591" spans="1:30" x14ac:dyDescent="0.2">
      <c r="A591" s="3">
        <v>40752</v>
      </c>
      <c r="B591" s="2" t="s">
        <v>38</v>
      </c>
      <c r="C591" t="s">
        <v>7</v>
      </c>
      <c r="D591" t="s">
        <v>208</v>
      </c>
      <c r="E591" s="2">
        <v>45808</v>
      </c>
      <c r="F591" s="2" cm="1">
        <f t="array" ref="F591">_xlfn.IFS(B591="Owner Surrender",E591,B591="Stray",E591+6,B591="Stray w/identification",E591+11,B591="Bite",E591+10,B591="Other",Blank)</f>
        <v>45814</v>
      </c>
      <c r="G591" s="2">
        <v>45817</v>
      </c>
      <c r="H591" s="5">
        <f t="shared" si="29"/>
        <v>9</v>
      </c>
      <c r="I591" s="5">
        <f t="shared" si="30"/>
        <v>3</v>
      </c>
      <c r="J591" s="2" t="s">
        <v>31</v>
      </c>
      <c r="K591" s="2" t="s">
        <v>587</v>
      </c>
      <c r="AD591" s="33" t="str">
        <f t="shared" si="31"/>
        <v>Monday</v>
      </c>
    </row>
    <row r="592" spans="1:30" x14ac:dyDescent="0.2">
      <c r="A592" s="3">
        <v>40753</v>
      </c>
      <c r="B592" s="2" t="s">
        <v>38</v>
      </c>
      <c r="C592" t="s">
        <v>7</v>
      </c>
      <c r="D592" t="s">
        <v>208</v>
      </c>
      <c r="E592" s="2">
        <v>45808</v>
      </c>
      <c r="F592" s="2" cm="1">
        <f t="array" ref="F592">_xlfn.IFS(B592="Owner Surrender",E592,B592="Stray",E592+6,B592="Stray w/identification",E592+11,B592="Bite",E592+10,B592="Other",Blank)</f>
        <v>45814</v>
      </c>
      <c r="G592" s="2">
        <v>45817</v>
      </c>
      <c r="H592" s="5">
        <f t="shared" si="29"/>
        <v>9</v>
      </c>
      <c r="I592" s="5">
        <f t="shared" si="30"/>
        <v>3</v>
      </c>
      <c r="J592" s="2" t="s">
        <v>31</v>
      </c>
      <c r="K592" s="2" t="s">
        <v>587</v>
      </c>
      <c r="AD592" s="33" t="str">
        <f t="shared" si="31"/>
        <v>Monday</v>
      </c>
    </row>
    <row r="593" spans="1:30" x14ac:dyDescent="0.2">
      <c r="A593" s="3">
        <v>40754</v>
      </c>
      <c r="B593" s="2" t="s">
        <v>38</v>
      </c>
      <c r="C593" t="s">
        <v>7</v>
      </c>
      <c r="D593" t="s">
        <v>208</v>
      </c>
      <c r="E593" s="2">
        <v>45808</v>
      </c>
      <c r="F593" s="2" cm="1">
        <f t="array" ref="F593">_xlfn.IFS(B593="Owner Surrender",E593,B593="Stray",E593+6,B593="Stray w/identification",E593+11,B593="Bite",E593+10,B593="Other",Blank)</f>
        <v>45814</v>
      </c>
      <c r="G593" s="2">
        <v>45817</v>
      </c>
      <c r="H593" s="5">
        <f t="shared" si="29"/>
        <v>9</v>
      </c>
      <c r="I593" s="5">
        <f t="shared" si="30"/>
        <v>3</v>
      </c>
      <c r="J593" s="2" t="s">
        <v>31</v>
      </c>
      <c r="K593" s="2" t="s">
        <v>587</v>
      </c>
      <c r="AD593" s="33" t="str">
        <f t="shared" si="31"/>
        <v>Monday</v>
      </c>
    </row>
    <row r="594" spans="1:30" x14ac:dyDescent="0.2">
      <c r="A594" s="27">
        <v>40755</v>
      </c>
      <c r="B594" s="2" t="s">
        <v>38</v>
      </c>
      <c r="C594" t="s">
        <v>10</v>
      </c>
      <c r="D594" t="s">
        <v>207</v>
      </c>
      <c r="E594" s="2">
        <v>45808</v>
      </c>
      <c r="F594" s="2" cm="1">
        <f t="array" ref="F594">_xlfn.IFS(B594="Owner Surrender",E594,B594="Stray",E594+6,B594="Stray w/identification",E594+11,B594="Bite",E594+10,B594="Other",Blank)</f>
        <v>45814</v>
      </c>
      <c r="G594" s="2">
        <v>45866</v>
      </c>
      <c r="H594" s="5">
        <f t="shared" si="29"/>
        <v>58</v>
      </c>
      <c r="I594" s="5">
        <f t="shared" si="30"/>
        <v>52</v>
      </c>
      <c r="J594" s="2" t="s">
        <v>11</v>
      </c>
      <c r="K594" s="2" t="s">
        <v>586</v>
      </c>
      <c r="L594" t="s">
        <v>13</v>
      </c>
      <c r="AD594" s="33" t="str">
        <f t="shared" si="31"/>
        <v>Monday</v>
      </c>
    </row>
    <row r="595" spans="1:30" x14ac:dyDescent="0.2">
      <c r="A595" s="3">
        <v>40756</v>
      </c>
      <c r="B595" s="2" t="s">
        <v>38</v>
      </c>
      <c r="C595" t="s">
        <v>7</v>
      </c>
      <c r="D595" t="s">
        <v>208</v>
      </c>
      <c r="E595" s="2">
        <v>45808</v>
      </c>
      <c r="F595" s="2" cm="1">
        <f t="array" ref="F595">_xlfn.IFS(B595="Owner Surrender",E595,B595="Stray",E595+6,B595="Stray w/identification",E595+11,B595="Bite",E595+10,B595="Other",Blank)</f>
        <v>45814</v>
      </c>
      <c r="G595" s="2">
        <v>45817</v>
      </c>
      <c r="H595" s="5">
        <f t="shared" si="29"/>
        <v>9</v>
      </c>
      <c r="I595" s="5">
        <f t="shared" si="30"/>
        <v>3</v>
      </c>
      <c r="J595" s="2" t="s">
        <v>31</v>
      </c>
      <c r="K595" s="2" t="s">
        <v>587</v>
      </c>
      <c r="AD595" s="33" t="str">
        <f t="shared" si="31"/>
        <v>Monday</v>
      </c>
    </row>
    <row r="596" spans="1:30" x14ac:dyDescent="0.2">
      <c r="A596" s="3">
        <v>40757</v>
      </c>
      <c r="B596" s="2" t="s">
        <v>38</v>
      </c>
      <c r="C596" t="s">
        <v>7</v>
      </c>
      <c r="D596" t="s">
        <v>207</v>
      </c>
      <c r="E596" s="2">
        <v>45808</v>
      </c>
      <c r="F596" s="2" cm="1">
        <f t="array" ref="F596">_xlfn.IFS(B596="Owner Surrender",E596,B596="Stray",E596+6,B596="Stray w/identification",E596+11,B596="Bite",E596+10,B596="Other",Blank)</f>
        <v>45814</v>
      </c>
      <c r="H596" s="5">
        <f t="shared" si="29"/>
        <v>-45808</v>
      </c>
      <c r="I596" s="5">
        <f t="shared" si="30"/>
        <v>-45814</v>
      </c>
      <c r="J596" s="2" t="s">
        <v>21</v>
      </c>
      <c r="K596" s="2" t="s">
        <v>586</v>
      </c>
      <c r="AD596" s="33" t="str">
        <f t="shared" si="31"/>
        <v>Saturday</v>
      </c>
    </row>
    <row r="597" spans="1:30" x14ac:dyDescent="0.2">
      <c r="A597" s="3">
        <v>40758</v>
      </c>
      <c r="B597" s="2" t="s">
        <v>38</v>
      </c>
      <c r="C597" t="s">
        <v>7</v>
      </c>
      <c r="D597" t="s">
        <v>207</v>
      </c>
      <c r="E597" s="2">
        <v>45808</v>
      </c>
      <c r="F597" s="2" cm="1">
        <f t="array" ref="F597">_xlfn.IFS(B597="Owner Surrender",E597,B597="Stray",E597+6,B597="Stray w/identification",E597+11,B597="Bite",E597+10,B597="Other",Blank)</f>
        <v>45814</v>
      </c>
      <c r="G597" s="2">
        <v>45826</v>
      </c>
      <c r="H597" s="5">
        <f t="shared" si="29"/>
        <v>18</v>
      </c>
      <c r="I597" s="5">
        <f t="shared" si="30"/>
        <v>12</v>
      </c>
      <c r="J597" s="2" t="s">
        <v>11</v>
      </c>
      <c r="K597" s="2" t="s">
        <v>586</v>
      </c>
      <c r="L597" t="s">
        <v>407</v>
      </c>
      <c r="AD597" s="33" t="str">
        <f t="shared" si="31"/>
        <v>Wednesday</v>
      </c>
    </row>
    <row r="598" spans="1:30" x14ac:dyDescent="0.2">
      <c r="A598" s="3">
        <v>40762</v>
      </c>
      <c r="B598" s="2" t="s">
        <v>36</v>
      </c>
      <c r="C598" t="s">
        <v>7</v>
      </c>
      <c r="D598" t="s">
        <v>209</v>
      </c>
      <c r="E598" s="2">
        <v>45810</v>
      </c>
      <c r="F598" s="2" cm="1">
        <f t="array" ref="F598">_xlfn.IFS(B598="Owner Surrender",E598,B598="Stray",E598+6,B598="Stray w/identification",E598+11,B598="Bite",E598+10,B598="Other",Blank)</f>
        <v>45810</v>
      </c>
      <c r="G598" s="2">
        <v>45866</v>
      </c>
      <c r="H598" s="5">
        <f t="shared" si="29"/>
        <v>56</v>
      </c>
      <c r="I598" s="5">
        <f t="shared" si="30"/>
        <v>56</v>
      </c>
      <c r="J598" s="2" t="s">
        <v>31</v>
      </c>
      <c r="K598" s="2" t="s">
        <v>587</v>
      </c>
      <c r="L598" t="s">
        <v>406</v>
      </c>
      <c r="AD598" s="33" t="str">
        <f t="shared" si="31"/>
        <v>Monday</v>
      </c>
    </row>
    <row r="599" spans="1:30" x14ac:dyDescent="0.2">
      <c r="A599" s="3">
        <v>40766</v>
      </c>
      <c r="B599" s="2" t="s">
        <v>38</v>
      </c>
      <c r="C599" t="s">
        <v>7</v>
      </c>
      <c r="D599" t="s">
        <v>207</v>
      </c>
      <c r="E599" s="2">
        <v>45809</v>
      </c>
      <c r="F599" s="2" cm="1">
        <f t="array" ref="F599">_xlfn.IFS(B599="Owner Surrender",E599,B599="Stray",E599+6,B599="Stray w/identification",E599+11,B599="Bite",E599+10,B599="Other",Blank)</f>
        <v>45815</v>
      </c>
      <c r="G599" s="2">
        <v>45812</v>
      </c>
      <c r="H599" s="5">
        <f t="shared" si="29"/>
        <v>3</v>
      </c>
      <c r="I599" s="5">
        <f t="shared" si="30"/>
        <v>-3</v>
      </c>
      <c r="J599" s="2" t="s">
        <v>8</v>
      </c>
      <c r="K599" s="2" t="s">
        <v>586</v>
      </c>
      <c r="AD599" s="33" t="str">
        <f t="shared" si="31"/>
        <v>Wednesday</v>
      </c>
    </row>
    <row r="600" spans="1:30" x14ac:dyDescent="0.2">
      <c r="A600" s="3">
        <v>40768</v>
      </c>
      <c r="B600" s="2" t="s">
        <v>36</v>
      </c>
      <c r="C600" t="s">
        <v>7</v>
      </c>
      <c r="D600" t="s">
        <v>207</v>
      </c>
      <c r="E600" s="2">
        <v>45810</v>
      </c>
      <c r="F600" s="2" cm="1">
        <f t="array" ref="F600">_xlfn.IFS(B600="Owner Surrender",E600,B600="Stray",E600+6,B600="Stray w/identification",E600+11,B600="Bite",E600+10,B600="Other",Blank)</f>
        <v>45810</v>
      </c>
      <c r="G600" s="2">
        <v>45812</v>
      </c>
      <c r="H600" s="5">
        <f t="shared" si="29"/>
        <v>2</v>
      </c>
      <c r="I600" s="5">
        <f t="shared" si="30"/>
        <v>2</v>
      </c>
      <c r="J600" s="2" t="s">
        <v>31</v>
      </c>
      <c r="K600" s="2" t="s">
        <v>587</v>
      </c>
      <c r="L600" t="s">
        <v>405</v>
      </c>
      <c r="AD600" s="33" t="str">
        <f t="shared" si="31"/>
        <v>Wednesday</v>
      </c>
    </row>
    <row r="601" spans="1:30" x14ac:dyDescent="0.2">
      <c r="A601" s="3">
        <v>40772</v>
      </c>
      <c r="B601" s="2" t="s">
        <v>36</v>
      </c>
      <c r="C601" t="s">
        <v>7</v>
      </c>
      <c r="D601" t="s">
        <v>208</v>
      </c>
      <c r="E601" s="2">
        <v>45810</v>
      </c>
      <c r="F601" s="2" cm="1">
        <f t="array" ref="F601">_xlfn.IFS(B601="Owner Surrender",E601,B601="Stray",E601+6,B601="Stray w/identification",E601+11,B601="Bite",E601+10,B601="Other",Blank)</f>
        <v>45810</v>
      </c>
      <c r="G601" s="2">
        <v>45812</v>
      </c>
      <c r="H601" s="5">
        <f t="shared" si="29"/>
        <v>2</v>
      </c>
      <c r="I601" s="5">
        <f t="shared" si="30"/>
        <v>2</v>
      </c>
      <c r="J601" s="2" t="s">
        <v>31</v>
      </c>
      <c r="K601" s="2" t="s">
        <v>587</v>
      </c>
      <c r="AD601" s="33" t="str">
        <f t="shared" si="31"/>
        <v>Wednesday</v>
      </c>
    </row>
    <row r="602" spans="1:30" x14ac:dyDescent="0.2">
      <c r="A602" s="3">
        <v>40773</v>
      </c>
      <c r="B602" s="2" t="s">
        <v>36</v>
      </c>
      <c r="C602" t="s">
        <v>7</v>
      </c>
      <c r="D602" t="s">
        <v>208</v>
      </c>
      <c r="E602" s="2">
        <v>45810</v>
      </c>
      <c r="F602" s="2" cm="1">
        <f t="array" ref="F602">_xlfn.IFS(B602="Owner Surrender",E602,B602="Stray",E602+6,B602="Stray w/identification",E602+11,B602="Bite",E602+10,B602="Other",Blank)</f>
        <v>45810</v>
      </c>
      <c r="G602" s="2">
        <v>45812</v>
      </c>
      <c r="H602" s="5">
        <f t="shared" si="29"/>
        <v>2</v>
      </c>
      <c r="I602" s="5">
        <f t="shared" si="30"/>
        <v>2</v>
      </c>
      <c r="J602" s="2" t="s">
        <v>31</v>
      </c>
      <c r="K602" s="2" t="s">
        <v>587</v>
      </c>
      <c r="AD602" s="33" t="str">
        <f t="shared" si="31"/>
        <v>Wednesday</v>
      </c>
    </row>
    <row r="603" spans="1:30" x14ac:dyDescent="0.2">
      <c r="A603" s="3">
        <v>40780</v>
      </c>
      <c r="B603" s="2" t="s">
        <v>36</v>
      </c>
      <c r="C603" t="s">
        <v>7</v>
      </c>
      <c r="D603" t="s">
        <v>208</v>
      </c>
      <c r="E603" s="2">
        <v>45811</v>
      </c>
      <c r="F603" s="2" cm="1">
        <f t="array" ref="F603">_xlfn.IFS(B603="Owner Surrender",E603,B603="Stray",E603+6,B603="Stray w/identification",E603+11,B603="Bite",E603+10,B603="Other",Blank)</f>
        <v>45811</v>
      </c>
      <c r="G603" s="2">
        <v>45817</v>
      </c>
      <c r="H603" s="5">
        <f t="shared" si="29"/>
        <v>6</v>
      </c>
      <c r="I603" s="5">
        <f t="shared" si="30"/>
        <v>6</v>
      </c>
      <c r="J603" s="2" t="s">
        <v>31</v>
      </c>
      <c r="K603" s="2" t="s">
        <v>587</v>
      </c>
      <c r="AD603" s="33" t="str">
        <f t="shared" si="31"/>
        <v>Monday</v>
      </c>
    </row>
    <row r="604" spans="1:30" x14ac:dyDescent="0.2">
      <c r="A604" s="3">
        <v>40782</v>
      </c>
      <c r="B604" s="2" t="s">
        <v>36</v>
      </c>
      <c r="C604" t="s">
        <v>7</v>
      </c>
      <c r="D604" t="s">
        <v>208</v>
      </c>
      <c r="E604" s="2">
        <v>45811</v>
      </c>
      <c r="F604" s="2" cm="1">
        <f t="array" ref="F604">_xlfn.IFS(B604="Owner Surrender",E604,B604="Stray",E604+6,B604="Stray w/identification",E604+11,B604="Bite",E604+10,B604="Other",Blank)</f>
        <v>45811</v>
      </c>
      <c r="G604" s="2">
        <v>45817</v>
      </c>
      <c r="H604" s="5">
        <f t="shared" si="29"/>
        <v>6</v>
      </c>
      <c r="I604" s="5">
        <f t="shared" si="30"/>
        <v>6</v>
      </c>
      <c r="J604" s="2" t="s">
        <v>31</v>
      </c>
      <c r="K604" s="2" t="s">
        <v>587</v>
      </c>
      <c r="AD604" s="33" t="str">
        <f t="shared" si="31"/>
        <v>Monday</v>
      </c>
    </row>
    <row r="605" spans="1:30" x14ac:dyDescent="0.2">
      <c r="A605" s="3">
        <v>40783</v>
      </c>
      <c r="B605" s="2" t="s">
        <v>36</v>
      </c>
      <c r="C605" t="s">
        <v>7</v>
      </c>
      <c r="D605" t="s">
        <v>208</v>
      </c>
      <c r="E605" s="2">
        <v>45811</v>
      </c>
      <c r="F605" s="2" cm="1">
        <f t="array" ref="F605">_xlfn.IFS(B605="Owner Surrender",E605,B605="Stray",E605+6,B605="Stray w/identification",E605+11,B605="Bite",E605+10,B605="Other",Blank)</f>
        <v>45811</v>
      </c>
      <c r="G605" s="2">
        <v>45817</v>
      </c>
      <c r="H605" s="5">
        <f t="shared" si="29"/>
        <v>6</v>
      </c>
      <c r="I605" s="5">
        <f t="shared" si="30"/>
        <v>6</v>
      </c>
      <c r="J605" s="2" t="s">
        <v>31</v>
      </c>
      <c r="K605" s="2" t="s">
        <v>587</v>
      </c>
      <c r="AD605" s="33" t="str">
        <f t="shared" si="31"/>
        <v>Monday</v>
      </c>
    </row>
    <row r="606" spans="1:30" x14ac:dyDescent="0.2">
      <c r="A606" s="3">
        <v>40784</v>
      </c>
      <c r="B606" s="2" t="s">
        <v>36</v>
      </c>
      <c r="C606" t="s">
        <v>7</v>
      </c>
      <c r="D606" t="s">
        <v>208</v>
      </c>
      <c r="E606" s="2">
        <v>45811</v>
      </c>
      <c r="F606" s="2" cm="1">
        <f t="array" ref="F606">_xlfn.IFS(B606="Owner Surrender",E606,B606="Stray",E606+6,B606="Stray w/identification",E606+11,B606="Bite",E606+10,B606="Other",Blank)</f>
        <v>45811</v>
      </c>
      <c r="G606" s="2">
        <v>45817</v>
      </c>
      <c r="H606" s="5">
        <f t="shared" si="29"/>
        <v>6</v>
      </c>
      <c r="I606" s="5">
        <f t="shared" si="30"/>
        <v>6</v>
      </c>
      <c r="J606" s="2" t="s">
        <v>31</v>
      </c>
      <c r="K606" s="2" t="s">
        <v>587</v>
      </c>
      <c r="AD606" s="33" t="str">
        <f t="shared" si="31"/>
        <v>Monday</v>
      </c>
    </row>
    <row r="607" spans="1:30" x14ac:dyDescent="0.2">
      <c r="A607" s="3">
        <v>40786</v>
      </c>
      <c r="B607" s="2" t="s">
        <v>36</v>
      </c>
      <c r="C607" t="s">
        <v>7</v>
      </c>
      <c r="D607" t="s">
        <v>208</v>
      </c>
      <c r="E607" s="2">
        <v>45811</v>
      </c>
      <c r="F607" s="2" cm="1">
        <f t="array" ref="F607">_xlfn.IFS(B607="Owner Surrender",E607,B607="Stray",E607+6,B607="Stray w/identification",E607+11,B607="Bite",E607+10,B607="Other",Blank)</f>
        <v>45811</v>
      </c>
      <c r="G607" s="2">
        <v>45817</v>
      </c>
      <c r="H607" s="5">
        <f t="shared" si="29"/>
        <v>6</v>
      </c>
      <c r="I607" s="5">
        <f t="shared" si="30"/>
        <v>6</v>
      </c>
      <c r="J607" s="2" t="s">
        <v>31</v>
      </c>
      <c r="K607" s="2" t="s">
        <v>587</v>
      </c>
      <c r="AD607" s="33" t="str">
        <f t="shared" si="31"/>
        <v>Monday</v>
      </c>
    </row>
    <row r="608" spans="1:30" x14ac:dyDescent="0.2">
      <c r="A608" s="3">
        <v>40788</v>
      </c>
      <c r="B608" s="2" t="s">
        <v>38</v>
      </c>
      <c r="C608" t="s">
        <v>7</v>
      </c>
      <c r="D608" t="s">
        <v>208</v>
      </c>
      <c r="E608" s="2">
        <v>45811</v>
      </c>
      <c r="F608" s="2" cm="1">
        <f t="array" ref="F608">_xlfn.IFS(B608="Owner Surrender",E608,B608="Stray",E608+6,B608="Stray w/identification",E608+11,B608="Bite",E608+10,B608="Other",Blank)</f>
        <v>45817</v>
      </c>
      <c r="G608" s="2">
        <v>45811</v>
      </c>
      <c r="H608" s="5">
        <f t="shared" si="29"/>
        <v>0</v>
      </c>
      <c r="I608" s="5">
        <f t="shared" si="30"/>
        <v>-6</v>
      </c>
      <c r="J608" s="2" t="s">
        <v>31</v>
      </c>
      <c r="K608" s="2" t="s">
        <v>588</v>
      </c>
      <c r="M608" t="s">
        <v>404</v>
      </c>
      <c r="AD608" s="33" t="str">
        <f t="shared" si="31"/>
        <v>Tuesday</v>
      </c>
    </row>
    <row r="609" spans="1:30" x14ac:dyDescent="0.2">
      <c r="A609" s="3">
        <v>40790</v>
      </c>
      <c r="B609" s="2" t="s">
        <v>38</v>
      </c>
      <c r="C609" t="s">
        <v>7</v>
      </c>
      <c r="D609" t="s">
        <v>208</v>
      </c>
      <c r="E609" s="2">
        <v>45811</v>
      </c>
      <c r="F609" s="2" cm="1">
        <f t="array" ref="F609">_xlfn.IFS(B609="Owner Surrender",E609,B609="Stray",E609+6,B609="Stray w/identification",E609+11,B609="Bite",E609+10,B609="Other",Blank)</f>
        <v>45817</v>
      </c>
      <c r="G609" s="2">
        <v>45825</v>
      </c>
      <c r="H609" s="5">
        <f t="shared" si="29"/>
        <v>14</v>
      </c>
      <c r="I609" s="5">
        <f t="shared" si="30"/>
        <v>8</v>
      </c>
      <c r="J609" s="2" t="s">
        <v>11</v>
      </c>
      <c r="K609" s="2" t="s">
        <v>586</v>
      </c>
      <c r="AD609" s="33" t="str">
        <f t="shared" si="31"/>
        <v>Tuesday</v>
      </c>
    </row>
    <row r="610" spans="1:30" x14ac:dyDescent="0.2">
      <c r="A610" s="3">
        <v>40791</v>
      </c>
      <c r="B610" s="2" t="s">
        <v>38</v>
      </c>
      <c r="C610" t="s">
        <v>10</v>
      </c>
      <c r="D610" t="s">
        <v>207</v>
      </c>
      <c r="E610" s="2">
        <v>45797</v>
      </c>
      <c r="F610" s="2" cm="1">
        <f t="array" ref="F610">_xlfn.IFS(B610="Owner Surrender",E610,B610="Stray",E610+6,B610="Stray w/identification",E610+11,B610="Bite",E610+10,B610="Other",Blank)</f>
        <v>45803</v>
      </c>
      <c r="G610" s="2">
        <v>45811</v>
      </c>
      <c r="H610" s="5">
        <f t="shared" si="29"/>
        <v>14</v>
      </c>
      <c r="I610" s="5">
        <f t="shared" si="30"/>
        <v>8</v>
      </c>
      <c r="J610" s="2" t="s">
        <v>11</v>
      </c>
      <c r="K610" s="2" t="s">
        <v>586</v>
      </c>
      <c r="AD610" s="33" t="str">
        <f t="shared" si="31"/>
        <v>Tuesday</v>
      </c>
    </row>
    <row r="611" spans="1:30" x14ac:dyDescent="0.2">
      <c r="A611" s="3">
        <v>40795</v>
      </c>
      <c r="B611" s="2" t="s">
        <v>36</v>
      </c>
      <c r="C611" t="s">
        <v>10</v>
      </c>
      <c r="D611" t="s">
        <v>208</v>
      </c>
      <c r="E611" s="2">
        <v>45812</v>
      </c>
      <c r="F611" s="2" cm="1">
        <f t="array" ref="F611">_xlfn.IFS(B611="Owner Surrender",E611,B611="Stray",E611+6,B611="Stray w/identification",E611+11,B611="Bite",E611+10,B611="Other",Blank)</f>
        <v>45812</v>
      </c>
      <c r="G611" s="2">
        <v>45825</v>
      </c>
      <c r="H611" s="5">
        <f t="shared" si="29"/>
        <v>13</v>
      </c>
      <c r="I611" s="5">
        <f t="shared" si="30"/>
        <v>13</v>
      </c>
      <c r="J611" s="2" t="s">
        <v>31</v>
      </c>
      <c r="K611" s="2" t="s">
        <v>587</v>
      </c>
      <c r="AD611" s="33" t="str">
        <f t="shared" si="31"/>
        <v>Tuesday</v>
      </c>
    </row>
    <row r="612" spans="1:30" x14ac:dyDescent="0.2">
      <c r="A612" s="3">
        <v>40796</v>
      </c>
      <c r="B612" s="2" t="s">
        <v>36</v>
      </c>
      <c r="C612" t="s">
        <v>10</v>
      </c>
      <c r="D612" t="s">
        <v>208</v>
      </c>
      <c r="E612" s="2">
        <v>45812</v>
      </c>
      <c r="F612" s="2" cm="1">
        <f t="array" ref="F612">_xlfn.IFS(B612="Owner Surrender",E612,B612="Stray",E612+6,B612="Stray w/identification",E612+11,B612="Bite",E612+10,B612="Other",Blank)</f>
        <v>45812</v>
      </c>
      <c r="G612" s="2">
        <v>45825</v>
      </c>
      <c r="H612" s="5">
        <f t="shared" si="29"/>
        <v>13</v>
      </c>
      <c r="I612" s="5">
        <f t="shared" si="30"/>
        <v>13</v>
      </c>
      <c r="J612" s="2" t="s">
        <v>31</v>
      </c>
      <c r="K612" s="2" t="s">
        <v>587</v>
      </c>
      <c r="AD612" s="33" t="str">
        <f t="shared" si="31"/>
        <v>Tuesday</v>
      </c>
    </row>
    <row r="613" spans="1:30" x14ac:dyDescent="0.2">
      <c r="A613" s="3">
        <v>40797</v>
      </c>
      <c r="B613" s="2" t="s">
        <v>36</v>
      </c>
      <c r="C613" t="s">
        <v>10</v>
      </c>
      <c r="D613" t="s">
        <v>208</v>
      </c>
      <c r="E613" s="2">
        <v>45812</v>
      </c>
      <c r="F613" s="2" cm="1">
        <f t="array" ref="F613">_xlfn.IFS(B613="Owner Surrender",E613,B613="Stray",E613+6,B613="Stray w/identification",E613+11,B613="Bite",E613+10,B613="Other",Blank)</f>
        <v>45812</v>
      </c>
      <c r="G613" s="2">
        <v>45825</v>
      </c>
      <c r="H613" s="5">
        <f t="shared" si="29"/>
        <v>13</v>
      </c>
      <c r="I613" s="5">
        <f t="shared" si="30"/>
        <v>13</v>
      </c>
      <c r="J613" s="2" t="s">
        <v>31</v>
      </c>
      <c r="K613" s="2" t="s">
        <v>587</v>
      </c>
      <c r="AD613" s="33" t="str">
        <f t="shared" si="31"/>
        <v>Tuesday</v>
      </c>
    </row>
    <row r="614" spans="1:30" x14ac:dyDescent="0.2">
      <c r="A614" s="3">
        <v>40798</v>
      </c>
      <c r="B614" s="2" t="s">
        <v>36</v>
      </c>
      <c r="C614" t="s">
        <v>10</v>
      </c>
      <c r="D614" t="s">
        <v>208</v>
      </c>
      <c r="E614" s="2">
        <v>45812</v>
      </c>
      <c r="F614" s="2" cm="1">
        <f t="array" ref="F614">_xlfn.IFS(B614="Owner Surrender",E614,B614="Stray",E614+6,B614="Stray w/identification",E614+11,B614="Bite",E614+10,B614="Other",Blank)</f>
        <v>45812</v>
      </c>
      <c r="G614" s="2">
        <v>45825</v>
      </c>
      <c r="H614" s="5">
        <f t="shared" si="29"/>
        <v>13</v>
      </c>
      <c r="I614" s="5">
        <f t="shared" si="30"/>
        <v>13</v>
      </c>
      <c r="J614" s="2" t="s">
        <v>31</v>
      </c>
      <c r="K614" s="2" t="s">
        <v>587</v>
      </c>
      <c r="AD614" s="33" t="str">
        <f t="shared" si="31"/>
        <v>Tuesday</v>
      </c>
    </row>
    <row r="615" spans="1:30" x14ac:dyDescent="0.2">
      <c r="A615" s="3">
        <v>40832</v>
      </c>
      <c r="B615" s="2" t="s">
        <v>36</v>
      </c>
      <c r="C615" t="s">
        <v>7</v>
      </c>
      <c r="D615" t="s">
        <v>208</v>
      </c>
      <c r="E615" s="2">
        <v>45814</v>
      </c>
      <c r="F615" s="2" cm="1">
        <f t="array" ref="F615">_xlfn.IFS(B615="Owner Surrender",E615,B615="Stray",E615+6,B615="Stray w/identification",E615+11,B615="Bite",E615+10,B615="Other",Blank)</f>
        <v>45814</v>
      </c>
      <c r="H615" s="5">
        <f t="shared" ref="H615:H678" si="32">+G615-E615</f>
        <v>-45814</v>
      </c>
      <c r="I615" s="5">
        <f t="shared" si="30"/>
        <v>-45814</v>
      </c>
      <c r="J615" s="2" t="s">
        <v>21</v>
      </c>
      <c r="K615" s="2" t="s">
        <v>586</v>
      </c>
      <c r="AD615" s="33" t="str">
        <f t="shared" si="31"/>
        <v>Saturday</v>
      </c>
    </row>
    <row r="616" spans="1:30" x14ac:dyDescent="0.2">
      <c r="A616" s="3">
        <v>40833</v>
      </c>
      <c r="B616" s="2" t="s">
        <v>36</v>
      </c>
      <c r="C616" t="s">
        <v>7</v>
      </c>
      <c r="D616" t="s">
        <v>208</v>
      </c>
      <c r="E616" s="2">
        <v>45814</v>
      </c>
      <c r="F616" s="2" cm="1">
        <f t="array" ref="F616">_xlfn.IFS(B616="Owner Surrender",E616,B616="Stray",E616+6,B616="Stray w/identification",E616+11,B616="Bite",E616+10,B616="Other",Blank)</f>
        <v>45814</v>
      </c>
      <c r="G616" s="2">
        <v>45825</v>
      </c>
      <c r="H616" s="5">
        <f t="shared" si="32"/>
        <v>11</v>
      </c>
      <c r="I616" s="5">
        <f t="shared" si="30"/>
        <v>11</v>
      </c>
      <c r="J616" s="2" t="s">
        <v>31</v>
      </c>
      <c r="K616" s="2" t="s">
        <v>587</v>
      </c>
      <c r="AD616" s="33" t="str">
        <f t="shared" si="31"/>
        <v>Tuesday</v>
      </c>
    </row>
    <row r="617" spans="1:30" x14ac:dyDescent="0.2">
      <c r="A617" s="3">
        <v>40834</v>
      </c>
      <c r="B617" s="2" t="s">
        <v>36</v>
      </c>
      <c r="C617" t="s">
        <v>7</v>
      </c>
      <c r="D617" t="s">
        <v>208</v>
      </c>
      <c r="E617" s="2">
        <v>45814</v>
      </c>
      <c r="F617" s="2" cm="1">
        <f t="array" ref="F617">_xlfn.IFS(B617="Owner Surrender",E617,B617="Stray",E617+6,B617="Stray w/identification",E617+11,B617="Bite",E617+10,B617="Other",Blank)</f>
        <v>45814</v>
      </c>
      <c r="G617" s="2">
        <v>45825</v>
      </c>
      <c r="H617" s="5">
        <f t="shared" si="32"/>
        <v>11</v>
      </c>
      <c r="I617" s="5">
        <f t="shared" ref="I617:I680" si="33">G617-F617</f>
        <v>11</v>
      </c>
      <c r="J617" s="2" t="s">
        <v>31</v>
      </c>
      <c r="K617" s="2" t="s">
        <v>587</v>
      </c>
      <c r="AD617" s="33" t="str">
        <f t="shared" si="31"/>
        <v>Tuesday</v>
      </c>
    </row>
    <row r="618" spans="1:30" x14ac:dyDescent="0.2">
      <c r="A618" s="3">
        <v>40836</v>
      </c>
      <c r="B618" s="2" t="s">
        <v>38</v>
      </c>
      <c r="C618" t="s">
        <v>7</v>
      </c>
      <c r="D618" t="s">
        <v>207</v>
      </c>
      <c r="E618" s="2">
        <v>45815</v>
      </c>
      <c r="F618" s="2" cm="1">
        <f t="array" ref="F618">_xlfn.IFS(B618="Owner Surrender",E618,B618="Stray",E618+6,B618="Stray w/identification",E618+11,B618="Bite",E618+10,B618="Other",Blank)</f>
        <v>45821</v>
      </c>
      <c r="H618" s="5">
        <f t="shared" si="32"/>
        <v>-45815</v>
      </c>
      <c r="I618" s="5">
        <f t="shared" si="33"/>
        <v>-45821</v>
      </c>
      <c r="J618" s="2" t="s">
        <v>21</v>
      </c>
      <c r="K618" s="2" t="s">
        <v>586</v>
      </c>
      <c r="L618" t="s">
        <v>403</v>
      </c>
      <c r="AD618" s="33" t="str">
        <f t="shared" si="31"/>
        <v>Saturday</v>
      </c>
    </row>
    <row r="619" spans="1:30" x14ac:dyDescent="0.2">
      <c r="A619" s="3">
        <v>40838</v>
      </c>
      <c r="B619" s="2" t="s">
        <v>36</v>
      </c>
      <c r="C619" t="s">
        <v>7</v>
      </c>
      <c r="D619" t="s">
        <v>208</v>
      </c>
      <c r="E619" s="2">
        <v>45815</v>
      </c>
      <c r="F619" s="2" cm="1">
        <f t="array" ref="F619">_xlfn.IFS(B619="Owner Surrender",E619,B619="Stray",E619+6,B619="Stray w/identification",E619+11,B619="Bite",E619+10,B619="Other",Blank)</f>
        <v>45815</v>
      </c>
      <c r="G619" s="2">
        <v>45826</v>
      </c>
      <c r="H619" s="5">
        <f t="shared" si="32"/>
        <v>11</v>
      </c>
      <c r="I619" s="5">
        <f t="shared" si="33"/>
        <v>11</v>
      </c>
      <c r="J619" s="2" t="s">
        <v>11</v>
      </c>
      <c r="K619" s="2" t="s">
        <v>586</v>
      </c>
      <c r="AD619" s="33" t="str">
        <f t="shared" si="31"/>
        <v>Wednesday</v>
      </c>
    </row>
    <row r="620" spans="1:30" x14ac:dyDescent="0.2">
      <c r="A620" s="3">
        <v>40857</v>
      </c>
      <c r="B620" s="2" t="s">
        <v>38</v>
      </c>
      <c r="C620" t="s">
        <v>7</v>
      </c>
      <c r="D620" t="s">
        <v>208</v>
      </c>
      <c r="E620" s="2">
        <v>45818</v>
      </c>
      <c r="F620" s="2" cm="1">
        <f t="array" ref="F620">_xlfn.IFS(B620="Owner Surrender",E620,B620="Stray",E620+6,B620="Stray w/identification",E620+11,B620="Bite",E620+10,B620="Other",Blank)</f>
        <v>45824</v>
      </c>
      <c r="G620" s="2">
        <v>45818</v>
      </c>
      <c r="H620" s="5">
        <f t="shared" si="32"/>
        <v>0</v>
      </c>
      <c r="I620" s="5">
        <f t="shared" si="33"/>
        <v>-6</v>
      </c>
      <c r="J620" s="2" t="s">
        <v>31</v>
      </c>
      <c r="K620" s="2" t="s">
        <v>587</v>
      </c>
      <c r="AD620" s="33" t="str">
        <f t="shared" si="31"/>
        <v>Tuesday</v>
      </c>
    </row>
    <row r="621" spans="1:30" x14ac:dyDescent="0.2">
      <c r="A621" s="3">
        <v>40861</v>
      </c>
      <c r="B621" s="2" t="s">
        <v>36</v>
      </c>
      <c r="C621" t="s">
        <v>7</v>
      </c>
      <c r="D621" t="s">
        <v>208</v>
      </c>
      <c r="E621" s="2">
        <v>45818</v>
      </c>
      <c r="F621" s="2" cm="1">
        <f t="array" ref="F621">_xlfn.IFS(B621="Owner Surrender",E621,B621="Stray",E621+6,B621="Stray w/identification",E621+11,B621="Bite",E621+10,B621="Other",Blank)</f>
        <v>45818</v>
      </c>
      <c r="G621" s="2">
        <v>45834</v>
      </c>
      <c r="H621" s="5">
        <f t="shared" si="32"/>
        <v>16</v>
      </c>
      <c r="I621" s="5">
        <f t="shared" si="33"/>
        <v>16</v>
      </c>
      <c r="J621" s="2" t="s">
        <v>31</v>
      </c>
      <c r="K621" s="2" t="s">
        <v>587</v>
      </c>
      <c r="AD621" s="33" t="str">
        <f t="shared" si="31"/>
        <v>Thursday</v>
      </c>
    </row>
    <row r="622" spans="1:30" x14ac:dyDescent="0.2">
      <c r="A622" s="3">
        <v>40862</v>
      </c>
      <c r="B622" s="2" t="s">
        <v>36</v>
      </c>
      <c r="C622" t="s">
        <v>7</v>
      </c>
      <c r="D622" t="s">
        <v>208</v>
      </c>
      <c r="E622" s="2">
        <v>45818</v>
      </c>
      <c r="F622" s="2" cm="1">
        <f t="array" ref="F622">_xlfn.IFS(B622="Owner Surrender",E622,B622="Stray",E622+6,B622="Stray w/identification",E622+11,B622="Bite",E622+10,B622="Other",Blank)</f>
        <v>45818</v>
      </c>
      <c r="G622" s="2">
        <v>45834</v>
      </c>
      <c r="H622" s="5">
        <f t="shared" si="32"/>
        <v>16</v>
      </c>
      <c r="I622" s="5">
        <f t="shared" si="33"/>
        <v>16</v>
      </c>
      <c r="J622" s="2" t="s">
        <v>31</v>
      </c>
      <c r="K622" s="2" t="s">
        <v>587</v>
      </c>
      <c r="AD622" s="33" t="str">
        <f t="shared" si="31"/>
        <v>Thursday</v>
      </c>
    </row>
    <row r="623" spans="1:30" x14ac:dyDescent="0.2">
      <c r="A623" s="3">
        <v>40865</v>
      </c>
      <c r="B623" s="2" t="s">
        <v>36</v>
      </c>
      <c r="C623" t="s">
        <v>7</v>
      </c>
      <c r="D623" t="s">
        <v>208</v>
      </c>
      <c r="E623" s="2">
        <v>45818</v>
      </c>
      <c r="F623" s="2" cm="1">
        <f t="array" ref="F623">_xlfn.IFS(B623="Owner Surrender",E623,B623="Stray",E623+6,B623="Stray w/identification",E623+11,B623="Bite",E623+10,B623="Other",Blank)</f>
        <v>45818</v>
      </c>
      <c r="G623" s="2">
        <v>45834</v>
      </c>
      <c r="H623" s="5">
        <f t="shared" si="32"/>
        <v>16</v>
      </c>
      <c r="I623" s="5">
        <f t="shared" si="33"/>
        <v>16</v>
      </c>
      <c r="J623" s="2" t="s">
        <v>31</v>
      </c>
      <c r="K623" s="2" t="s">
        <v>587</v>
      </c>
      <c r="AD623" s="33" t="str">
        <f t="shared" si="31"/>
        <v>Thursday</v>
      </c>
    </row>
    <row r="624" spans="1:30" x14ac:dyDescent="0.2">
      <c r="A624" s="3">
        <v>40869</v>
      </c>
      <c r="B624" s="2" t="s">
        <v>38</v>
      </c>
      <c r="C624" t="s">
        <v>7</v>
      </c>
      <c r="D624" t="s">
        <v>207</v>
      </c>
      <c r="E624" s="2">
        <v>45819</v>
      </c>
      <c r="F624" s="2" cm="1">
        <f t="array" ref="F624">_xlfn.IFS(B624="Owner Surrender",E624,B624="Stray",E624+6,B624="Stray w/identification",E624+11,B624="Bite",E624+10,B624="Other",Blank)</f>
        <v>45825</v>
      </c>
      <c r="G624" s="2">
        <v>45833</v>
      </c>
      <c r="H624" s="5">
        <f t="shared" si="32"/>
        <v>14</v>
      </c>
      <c r="I624" s="5">
        <f t="shared" si="33"/>
        <v>8</v>
      </c>
      <c r="J624" s="2" t="s">
        <v>18</v>
      </c>
      <c r="K624" s="2" t="s">
        <v>586</v>
      </c>
      <c r="AD624" s="33" t="str">
        <f t="shared" si="31"/>
        <v>Wednesday</v>
      </c>
    </row>
    <row r="625" spans="1:30" x14ac:dyDescent="0.2">
      <c r="A625" s="3">
        <v>40870</v>
      </c>
      <c r="B625" s="2" t="s">
        <v>38</v>
      </c>
      <c r="C625" t="s">
        <v>7</v>
      </c>
      <c r="D625" t="s">
        <v>208</v>
      </c>
      <c r="E625" s="2">
        <v>45819</v>
      </c>
      <c r="F625" s="2" cm="1">
        <f t="array" ref="F625">_xlfn.IFS(B625="Owner Surrender",E625,B625="Stray",E625+6,B625="Stray w/identification",E625+11,B625="Bite",E625+10,B625="Other",Blank)</f>
        <v>45825</v>
      </c>
      <c r="G625" s="2">
        <v>45833</v>
      </c>
      <c r="H625" s="5">
        <f t="shared" si="32"/>
        <v>14</v>
      </c>
      <c r="I625" s="5">
        <f t="shared" si="33"/>
        <v>8</v>
      </c>
      <c r="J625" s="2" t="s">
        <v>18</v>
      </c>
      <c r="K625" s="2" t="s">
        <v>586</v>
      </c>
      <c r="AD625" s="33" t="str">
        <f t="shared" si="31"/>
        <v>Wednesday</v>
      </c>
    </row>
    <row r="626" spans="1:30" x14ac:dyDescent="0.2">
      <c r="A626" s="3">
        <v>40871</v>
      </c>
      <c r="B626" s="2" t="s">
        <v>38</v>
      </c>
      <c r="C626" t="s">
        <v>7</v>
      </c>
      <c r="D626" t="s">
        <v>208</v>
      </c>
      <c r="E626" s="2">
        <v>45819</v>
      </c>
      <c r="F626" s="2" cm="1">
        <f t="array" ref="F626">_xlfn.IFS(B626="Owner Surrender",E626,B626="Stray",E626+6,B626="Stray w/identification",E626+11,B626="Bite",E626+10,B626="Other",Blank)</f>
        <v>45825</v>
      </c>
      <c r="G626" s="2">
        <v>45833</v>
      </c>
      <c r="H626" s="5">
        <f t="shared" si="32"/>
        <v>14</v>
      </c>
      <c r="I626" s="5">
        <f t="shared" si="33"/>
        <v>8</v>
      </c>
      <c r="J626" s="2" t="s">
        <v>18</v>
      </c>
      <c r="K626" s="2" t="s">
        <v>586</v>
      </c>
      <c r="AD626" s="33" t="str">
        <f t="shared" si="31"/>
        <v>Wednesday</v>
      </c>
    </row>
    <row r="627" spans="1:30" x14ac:dyDescent="0.2">
      <c r="A627" s="3">
        <v>40872</v>
      </c>
      <c r="B627" s="2" t="s">
        <v>38</v>
      </c>
      <c r="C627" t="s">
        <v>7</v>
      </c>
      <c r="D627" t="s">
        <v>208</v>
      </c>
      <c r="E627" s="2">
        <v>45819</v>
      </c>
      <c r="F627" s="2" cm="1">
        <f t="array" ref="F627">_xlfn.IFS(B627="Owner Surrender",E627,B627="Stray",E627+6,B627="Stray w/identification",E627+11,B627="Bite",E627+10,B627="Other",Blank)</f>
        <v>45825</v>
      </c>
      <c r="G627" s="2">
        <v>45833</v>
      </c>
      <c r="H627" s="5">
        <f t="shared" si="32"/>
        <v>14</v>
      </c>
      <c r="I627" s="5">
        <f t="shared" si="33"/>
        <v>8</v>
      </c>
      <c r="J627" s="2" t="s">
        <v>18</v>
      </c>
      <c r="K627" s="2" t="s">
        <v>586</v>
      </c>
      <c r="AD627" s="33" t="str">
        <f t="shared" si="31"/>
        <v>Wednesday</v>
      </c>
    </row>
    <row r="628" spans="1:30" x14ac:dyDescent="0.2">
      <c r="A628" s="3">
        <v>40873</v>
      </c>
      <c r="B628" s="2" t="s">
        <v>38</v>
      </c>
      <c r="C628" t="s">
        <v>7</v>
      </c>
      <c r="D628" t="s">
        <v>208</v>
      </c>
      <c r="E628" s="2">
        <v>45819</v>
      </c>
      <c r="F628" s="2" cm="1">
        <f t="array" ref="F628">_xlfn.IFS(B628="Owner Surrender",E628,B628="Stray",E628+6,B628="Stray w/identification",E628+11,B628="Bite",E628+10,B628="Other",Blank)</f>
        <v>45825</v>
      </c>
      <c r="G628" s="2">
        <v>45833</v>
      </c>
      <c r="H628" s="5">
        <f t="shared" si="32"/>
        <v>14</v>
      </c>
      <c r="I628" s="5">
        <f t="shared" si="33"/>
        <v>8</v>
      </c>
      <c r="J628" s="2" t="s">
        <v>18</v>
      </c>
      <c r="K628" s="2" t="s">
        <v>586</v>
      </c>
      <c r="AD628" s="33" t="str">
        <f t="shared" si="31"/>
        <v>Wednesday</v>
      </c>
    </row>
    <row r="629" spans="1:30" x14ac:dyDescent="0.2">
      <c r="A629" s="3">
        <v>40874</v>
      </c>
      <c r="B629" s="2" t="s">
        <v>38</v>
      </c>
      <c r="C629" t="s">
        <v>7</v>
      </c>
      <c r="D629" t="s">
        <v>208</v>
      </c>
      <c r="E629" s="2">
        <v>45819</v>
      </c>
      <c r="F629" s="2" cm="1">
        <f t="array" ref="F629">_xlfn.IFS(B629="Owner Surrender",E629,B629="Stray",E629+6,B629="Stray w/identification",E629+11,B629="Bite",E629+10,B629="Other",Blank)</f>
        <v>45825</v>
      </c>
      <c r="G629" s="2">
        <v>45833</v>
      </c>
      <c r="H629" s="5">
        <f t="shared" si="32"/>
        <v>14</v>
      </c>
      <c r="I629" s="5">
        <f t="shared" si="33"/>
        <v>8</v>
      </c>
      <c r="J629" s="2" t="s">
        <v>18</v>
      </c>
      <c r="K629" s="2" t="s">
        <v>586</v>
      </c>
      <c r="AD629" s="33" t="str">
        <f t="shared" si="31"/>
        <v>Wednesday</v>
      </c>
    </row>
    <row r="630" spans="1:30" x14ac:dyDescent="0.2">
      <c r="A630" s="3">
        <v>40886</v>
      </c>
      <c r="B630" s="2" t="s">
        <v>36</v>
      </c>
      <c r="C630" t="s">
        <v>7</v>
      </c>
      <c r="D630" t="s">
        <v>210</v>
      </c>
      <c r="E630" s="2">
        <v>45820</v>
      </c>
      <c r="F630" s="2" cm="1">
        <f t="array" ref="F630">_xlfn.IFS(B630="Owner Surrender",E630,B630="Stray",E630+6,B630="Stray w/identification",E630+11,B630="Bite",E630+10,B630="Other",Blank)</f>
        <v>45820</v>
      </c>
      <c r="G630" s="2">
        <v>45821</v>
      </c>
      <c r="H630" s="5">
        <f t="shared" si="32"/>
        <v>1</v>
      </c>
      <c r="I630" s="5">
        <f t="shared" si="33"/>
        <v>1</v>
      </c>
      <c r="J630" s="2" t="s">
        <v>31</v>
      </c>
      <c r="K630" s="2" t="s">
        <v>587</v>
      </c>
      <c r="AD630" s="33" t="str">
        <f t="shared" si="31"/>
        <v>Friday</v>
      </c>
    </row>
    <row r="631" spans="1:30" x14ac:dyDescent="0.2">
      <c r="A631" s="3">
        <v>40898</v>
      </c>
      <c r="B631" s="2" t="s">
        <v>38</v>
      </c>
      <c r="C631" t="s">
        <v>7</v>
      </c>
      <c r="D631" t="s">
        <v>207</v>
      </c>
      <c r="E631" s="2">
        <v>45821</v>
      </c>
      <c r="F631" s="2" cm="1">
        <f t="array" ref="F631">_xlfn.IFS(B631="Owner Surrender",E631,B631="Stray",E631+6,B631="Stray w/identification",E631+11,B631="Bite",E631+10,B631="Other",Blank)</f>
        <v>45827</v>
      </c>
      <c r="G631" s="2">
        <v>45828</v>
      </c>
      <c r="H631" s="5">
        <f t="shared" si="32"/>
        <v>7</v>
      </c>
      <c r="I631" s="5">
        <f t="shared" si="33"/>
        <v>1</v>
      </c>
      <c r="J631" s="2" t="s">
        <v>31</v>
      </c>
      <c r="K631" s="2" t="s">
        <v>587</v>
      </c>
      <c r="AD631" s="33" t="str">
        <f t="shared" si="31"/>
        <v>Friday</v>
      </c>
    </row>
    <row r="632" spans="1:30" x14ac:dyDescent="0.2">
      <c r="A632" s="3">
        <v>40901</v>
      </c>
      <c r="B632" s="2" t="s">
        <v>38</v>
      </c>
      <c r="C632" t="s">
        <v>7</v>
      </c>
      <c r="D632" t="s">
        <v>208</v>
      </c>
      <c r="E632" s="2">
        <v>45821</v>
      </c>
      <c r="F632" s="2" cm="1">
        <f t="array" ref="F632">_xlfn.IFS(B632="Owner Surrender",E632,B632="Stray",E632+6,B632="Stray w/identification",E632+11,B632="Bite",E632+10,B632="Other",Blank)</f>
        <v>45827</v>
      </c>
      <c r="G632" s="2">
        <v>45825</v>
      </c>
      <c r="H632" s="5">
        <f t="shared" si="32"/>
        <v>4</v>
      </c>
      <c r="I632" s="5">
        <f t="shared" si="33"/>
        <v>-2</v>
      </c>
      <c r="J632" s="2" t="s">
        <v>31</v>
      </c>
      <c r="K632" s="2" t="s">
        <v>588</v>
      </c>
      <c r="M632" t="s">
        <v>404</v>
      </c>
      <c r="AD632" s="33" t="str">
        <f t="shared" si="31"/>
        <v>Tuesday</v>
      </c>
    </row>
    <row r="633" spans="1:30" x14ac:dyDescent="0.2">
      <c r="A633" s="3">
        <v>40906</v>
      </c>
      <c r="B633" s="2" t="s">
        <v>36</v>
      </c>
      <c r="C633" t="s">
        <v>7</v>
      </c>
      <c r="D633" t="s">
        <v>207</v>
      </c>
      <c r="E633" s="2">
        <v>45824</v>
      </c>
      <c r="F633" s="2" cm="1">
        <f t="array" ref="F633">_xlfn.IFS(B633="Owner Surrender",E633,B633="Stray",E633+6,B633="Stray w/identification",E633+11,B633="Bite",E633+10,B633="Other",Blank)</f>
        <v>45824</v>
      </c>
      <c r="G633" s="2">
        <v>45824</v>
      </c>
      <c r="H633" s="5">
        <f t="shared" si="32"/>
        <v>0</v>
      </c>
      <c r="I633" s="5">
        <f t="shared" si="33"/>
        <v>0</v>
      </c>
      <c r="J633" s="2" t="s">
        <v>31</v>
      </c>
      <c r="K633" s="2" t="s">
        <v>588</v>
      </c>
      <c r="L633" t="s">
        <v>414</v>
      </c>
      <c r="M633" t="s">
        <v>415</v>
      </c>
      <c r="AD633" s="33" t="str">
        <f t="shared" si="31"/>
        <v>Monday</v>
      </c>
    </row>
    <row r="634" spans="1:30" x14ac:dyDescent="0.2">
      <c r="A634" s="3">
        <v>40912</v>
      </c>
      <c r="B634" s="2" t="s">
        <v>38</v>
      </c>
      <c r="C634" t="s">
        <v>15</v>
      </c>
      <c r="D634" t="s">
        <v>208</v>
      </c>
      <c r="E634" s="2">
        <v>45824</v>
      </c>
      <c r="F634" s="2" cm="1">
        <f t="array" ref="F634">_xlfn.IFS(B634="Owner Surrender",E634,B634="Stray",E634+6,B634="Stray w/identification",E634+11,B634="Bite",E634+10,B634="Other",Blank)</f>
        <v>45830</v>
      </c>
      <c r="G634" s="2">
        <v>45861</v>
      </c>
      <c r="H634" s="5">
        <f t="shared" si="32"/>
        <v>37</v>
      </c>
      <c r="I634" s="5">
        <f t="shared" si="33"/>
        <v>31</v>
      </c>
      <c r="J634" s="2" t="s">
        <v>31</v>
      </c>
      <c r="K634" s="2" t="s">
        <v>587</v>
      </c>
      <c r="L634" s="2" t="s">
        <v>115</v>
      </c>
      <c r="AD634" s="33" t="str">
        <f t="shared" si="31"/>
        <v>Wednesday</v>
      </c>
    </row>
    <row r="635" spans="1:30" x14ac:dyDescent="0.2">
      <c r="A635" s="3">
        <v>40913</v>
      </c>
      <c r="B635" s="2" t="s">
        <v>36</v>
      </c>
      <c r="C635" t="s">
        <v>7</v>
      </c>
      <c r="D635" t="s">
        <v>208</v>
      </c>
      <c r="E635" s="2">
        <v>45824</v>
      </c>
      <c r="F635" s="2" cm="1">
        <f t="array" ref="F635">_xlfn.IFS(B635="Owner Surrender",E635,B635="Stray",E635+6,B635="Stray w/identification",E635+11,B635="Bite",E635+10,B635="Other",Blank)</f>
        <v>45824</v>
      </c>
      <c r="G635" s="2">
        <v>45841</v>
      </c>
      <c r="H635" s="5">
        <f t="shared" si="32"/>
        <v>17</v>
      </c>
      <c r="I635" s="5">
        <f t="shared" si="33"/>
        <v>17</v>
      </c>
      <c r="J635" s="2" t="s">
        <v>31</v>
      </c>
      <c r="K635" s="2" t="s">
        <v>587</v>
      </c>
      <c r="AD635" s="33" t="str">
        <f t="shared" si="31"/>
        <v>Thursday</v>
      </c>
    </row>
    <row r="636" spans="1:30" x14ac:dyDescent="0.2">
      <c r="A636" s="3">
        <v>40914</v>
      </c>
      <c r="B636" s="2" t="s">
        <v>36</v>
      </c>
      <c r="C636" t="s">
        <v>7</v>
      </c>
      <c r="D636" t="s">
        <v>208</v>
      </c>
      <c r="E636" s="2">
        <v>45824</v>
      </c>
      <c r="F636" s="2" cm="1">
        <f t="array" ref="F636">_xlfn.IFS(B636="Owner Surrender",E636,B636="Stray",E636+6,B636="Stray w/identification",E636+11,B636="Bite",E636+10,B636="Other",Blank)</f>
        <v>45824</v>
      </c>
      <c r="G636" s="2">
        <v>45839</v>
      </c>
      <c r="H636" s="5">
        <f t="shared" si="32"/>
        <v>15</v>
      </c>
      <c r="I636" s="5">
        <f t="shared" si="33"/>
        <v>15</v>
      </c>
      <c r="J636" s="2" t="s">
        <v>31</v>
      </c>
      <c r="K636" s="2" t="s">
        <v>587</v>
      </c>
      <c r="AD636" s="33" t="str">
        <f t="shared" si="31"/>
        <v>Tuesday</v>
      </c>
    </row>
    <row r="637" spans="1:30" x14ac:dyDescent="0.2">
      <c r="A637" s="3">
        <v>40915</v>
      </c>
      <c r="B637" s="2" t="s">
        <v>36</v>
      </c>
      <c r="C637" t="s">
        <v>7</v>
      </c>
      <c r="D637" t="s">
        <v>208</v>
      </c>
      <c r="E637" s="2">
        <v>45824</v>
      </c>
      <c r="F637" s="2" cm="1">
        <f t="array" ref="F637">_xlfn.IFS(B637="Owner Surrender",E637,B637="Stray",E637+6,B637="Stray w/identification",E637+11,B637="Bite",E637+10,B637="Other",Blank)</f>
        <v>45824</v>
      </c>
      <c r="G637" s="2">
        <v>45839</v>
      </c>
      <c r="H637" s="5">
        <f t="shared" si="32"/>
        <v>15</v>
      </c>
      <c r="I637" s="5">
        <f t="shared" si="33"/>
        <v>15</v>
      </c>
      <c r="J637" s="2" t="s">
        <v>31</v>
      </c>
      <c r="K637" s="2" t="s">
        <v>588</v>
      </c>
      <c r="M637" t="s">
        <v>33</v>
      </c>
      <c r="AD637" s="33" t="str">
        <f t="shared" si="31"/>
        <v>Tuesday</v>
      </c>
    </row>
    <row r="638" spans="1:30" x14ac:dyDescent="0.2">
      <c r="A638" s="3">
        <v>40916</v>
      </c>
      <c r="B638" s="2" t="s">
        <v>38</v>
      </c>
      <c r="C638" t="s">
        <v>7</v>
      </c>
      <c r="D638" t="s">
        <v>208</v>
      </c>
      <c r="E638" s="2">
        <v>45824</v>
      </c>
      <c r="F638" s="2" cm="1">
        <f t="array" ref="F638">_xlfn.IFS(B638="Owner Surrender",E638,B638="Stray",E638+6,B638="Stray w/identification",E638+11,B638="Bite",E638+10,B638="Other",Blank)</f>
        <v>45830</v>
      </c>
      <c r="G638" s="2">
        <v>45833</v>
      </c>
      <c r="H638" s="5">
        <f t="shared" si="32"/>
        <v>9</v>
      </c>
      <c r="I638" s="5">
        <f t="shared" si="33"/>
        <v>3</v>
      </c>
      <c r="J638" s="2" t="s">
        <v>18</v>
      </c>
      <c r="K638" s="2" t="s">
        <v>586</v>
      </c>
      <c r="AD638" s="33" t="str">
        <f t="shared" si="31"/>
        <v>Wednesday</v>
      </c>
    </row>
    <row r="639" spans="1:30" x14ac:dyDescent="0.2">
      <c r="A639" s="3">
        <v>40922</v>
      </c>
      <c r="B639" s="2" t="s">
        <v>38</v>
      </c>
      <c r="C639" t="s">
        <v>7</v>
      </c>
      <c r="D639" t="s">
        <v>208</v>
      </c>
      <c r="E639" s="2">
        <v>45825</v>
      </c>
      <c r="F639" s="2" cm="1">
        <f t="array" ref="F639">_xlfn.IFS(B639="Owner Surrender",E639,B639="Stray",E639+6,B639="Stray w/identification",E639+11,B639="Bite",E639+10,B639="Other",Blank)</f>
        <v>45831</v>
      </c>
      <c r="G639" s="2">
        <v>45856</v>
      </c>
      <c r="H639" s="5">
        <f t="shared" si="32"/>
        <v>31</v>
      </c>
      <c r="I639" s="5">
        <f t="shared" si="33"/>
        <v>25</v>
      </c>
      <c r="J639" s="2" t="s">
        <v>11</v>
      </c>
      <c r="K639" s="2" t="s">
        <v>586</v>
      </c>
      <c r="AD639" s="33" t="str">
        <f t="shared" si="31"/>
        <v>Friday</v>
      </c>
    </row>
    <row r="640" spans="1:30" x14ac:dyDescent="0.2">
      <c r="A640" s="3">
        <v>40927</v>
      </c>
      <c r="B640" s="2" t="s">
        <v>36</v>
      </c>
      <c r="C640" t="s">
        <v>10</v>
      </c>
      <c r="D640" t="s">
        <v>207</v>
      </c>
      <c r="E640" s="2">
        <v>45825</v>
      </c>
      <c r="F640" s="2" cm="1">
        <f t="array" ref="F640">_xlfn.IFS(B640="Owner Surrender",E640,B640="Stray",E640+6,B640="Stray w/identification",E640+11,B640="Bite",E640+10,B640="Other",Blank)</f>
        <v>45825</v>
      </c>
      <c r="H640" s="5">
        <f t="shared" si="32"/>
        <v>-45825</v>
      </c>
      <c r="I640" s="5">
        <f t="shared" si="33"/>
        <v>-45825</v>
      </c>
      <c r="J640" s="2" t="s">
        <v>21</v>
      </c>
      <c r="K640" s="2" t="s">
        <v>586</v>
      </c>
      <c r="L640" t="s">
        <v>413</v>
      </c>
      <c r="AD640" s="33" t="str">
        <f t="shared" si="31"/>
        <v>Saturday</v>
      </c>
    </row>
    <row r="641" spans="1:30" x14ac:dyDescent="0.2">
      <c r="A641" s="3">
        <v>40928</v>
      </c>
      <c r="B641" s="2" t="s">
        <v>38</v>
      </c>
      <c r="C641" t="s">
        <v>10</v>
      </c>
      <c r="D641" t="s">
        <v>208</v>
      </c>
      <c r="E641" s="2">
        <v>45825</v>
      </c>
      <c r="F641" s="2" cm="1">
        <f t="array" ref="F641">_xlfn.IFS(B641="Owner Surrender",E641,B641="Stray",E641+6,B641="Stray w/identification",E641+11,B641="Bite",E641+10,B641="Other",Blank)</f>
        <v>45831</v>
      </c>
      <c r="G641" s="2">
        <v>45832</v>
      </c>
      <c r="H641" s="5">
        <f t="shared" si="32"/>
        <v>7</v>
      </c>
      <c r="I641" s="5">
        <f t="shared" si="33"/>
        <v>1</v>
      </c>
      <c r="J641" s="2" t="s">
        <v>31</v>
      </c>
      <c r="K641" s="2" t="s">
        <v>587</v>
      </c>
      <c r="L641" t="s">
        <v>412</v>
      </c>
      <c r="AD641" s="33" t="str">
        <f t="shared" si="31"/>
        <v>Tuesday</v>
      </c>
    </row>
    <row r="642" spans="1:30" x14ac:dyDescent="0.2">
      <c r="A642" s="3">
        <v>40931</v>
      </c>
      <c r="B642" s="2" t="s">
        <v>38</v>
      </c>
      <c r="C642" t="s">
        <v>7</v>
      </c>
      <c r="D642" t="s">
        <v>207</v>
      </c>
      <c r="E642" s="2">
        <v>45825</v>
      </c>
      <c r="F642" s="2" cm="1">
        <f t="array" ref="F642">_xlfn.IFS(B642="Owner Surrender",E642,B642="Stray",E642+6,B642="Stray w/identification",E642+11,B642="Bite",E642+10,B642="Other",Blank)</f>
        <v>45831</v>
      </c>
      <c r="G642" s="2">
        <v>45828</v>
      </c>
      <c r="H642" s="5">
        <f t="shared" si="32"/>
        <v>3</v>
      </c>
      <c r="I642" s="5">
        <f t="shared" si="33"/>
        <v>-3</v>
      </c>
      <c r="J642" s="2" t="s">
        <v>8</v>
      </c>
      <c r="K642" s="2" t="s">
        <v>586</v>
      </c>
      <c r="AD642" s="33" t="str">
        <f t="shared" si="31"/>
        <v>Friday</v>
      </c>
    </row>
    <row r="643" spans="1:30" x14ac:dyDescent="0.2">
      <c r="A643" s="3">
        <v>40932</v>
      </c>
      <c r="B643" s="2" t="s">
        <v>38</v>
      </c>
      <c r="C643" t="s">
        <v>7</v>
      </c>
      <c r="D643" t="s">
        <v>208</v>
      </c>
      <c r="E643" s="2">
        <v>45826</v>
      </c>
      <c r="F643" s="2" cm="1">
        <f t="array" ref="F643">_xlfn.IFS(B643="Owner Surrender",E643,B643="Stray",E643+6,B643="Stray w/identification",E643+11,B643="Bite",E643+10,B643="Other",Blank)</f>
        <v>45832</v>
      </c>
      <c r="G643" s="2">
        <v>45826</v>
      </c>
      <c r="H643" s="5">
        <f t="shared" si="32"/>
        <v>0</v>
      </c>
      <c r="I643" s="5">
        <f t="shared" si="33"/>
        <v>-6</v>
      </c>
      <c r="J643" s="2" t="s">
        <v>31</v>
      </c>
      <c r="K643" s="2" t="s">
        <v>588</v>
      </c>
      <c r="L643" t="s">
        <v>411</v>
      </c>
      <c r="AD643" s="33" t="str">
        <f t="shared" si="31"/>
        <v>Wednesday</v>
      </c>
    </row>
    <row r="644" spans="1:30" x14ac:dyDescent="0.2">
      <c r="A644" s="3">
        <v>40933</v>
      </c>
      <c r="B644" s="2" t="s">
        <v>38</v>
      </c>
      <c r="C644" t="s">
        <v>7</v>
      </c>
      <c r="D644" t="s">
        <v>208</v>
      </c>
      <c r="E644" s="2">
        <v>45826</v>
      </c>
      <c r="F644" s="2" cm="1">
        <f t="array" ref="F644">_xlfn.IFS(B644="Owner Surrender",E644,B644="Stray",E644+6,B644="Stray w/identification",E644+11,B644="Bite",E644+10,B644="Other",Blank)</f>
        <v>45832</v>
      </c>
      <c r="G644" s="2">
        <v>45833</v>
      </c>
      <c r="H644" s="5">
        <f t="shared" si="32"/>
        <v>7</v>
      </c>
      <c r="I644" s="5">
        <f t="shared" si="33"/>
        <v>1</v>
      </c>
      <c r="J644" s="2" t="s">
        <v>18</v>
      </c>
      <c r="K644" s="2" t="s">
        <v>586</v>
      </c>
      <c r="L644" t="s">
        <v>34</v>
      </c>
      <c r="AD644" s="33" t="str">
        <f t="shared" ref="AD644:AD707" si="34">TEXT(G644,"DDDD")</f>
        <v>Wednesday</v>
      </c>
    </row>
    <row r="645" spans="1:30" x14ac:dyDescent="0.2">
      <c r="A645" s="3">
        <v>40934</v>
      </c>
      <c r="B645" s="2" t="s">
        <v>36</v>
      </c>
      <c r="C645" t="s">
        <v>7</v>
      </c>
      <c r="D645" t="s">
        <v>210</v>
      </c>
      <c r="E645" s="2">
        <v>45826</v>
      </c>
      <c r="F645" s="2" cm="1">
        <f t="array" ref="F645">_xlfn.IFS(B645="Owner Surrender",E645,B645="Stray",E645+6,B645="Stray w/identification",E645+11,B645="Bite",E645+10,B645="Other",Blank)</f>
        <v>45826</v>
      </c>
      <c r="G645" s="2">
        <v>45826</v>
      </c>
      <c r="H645" s="5">
        <f t="shared" si="32"/>
        <v>0</v>
      </c>
      <c r="I645" s="5">
        <f t="shared" si="33"/>
        <v>0</v>
      </c>
      <c r="J645" s="2" t="s">
        <v>31</v>
      </c>
      <c r="K645" s="2" t="s">
        <v>589</v>
      </c>
      <c r="L645" t="s">
        <v>395</v>
      </c>
      <c r="AD645" s="33" t="str">
        <f t="shared" si="34"/>
        <v>Wednesday</v>
      </c>
    </row>
    <row r="646" spans="1:30" x14ac:dyDescent="0.2">
      <c r="A646" s="3">
        <v>40942</v>
      </c>
      <c r="B646" s="2" t="s">
        <v>38</v>
      </c>
      <c r="C646" t="s">
        <v>7</v>
      </c>
      <c r="D646" t="s">
        <v>208</v>
      </c>
      <c r="E646" s="2">
        <v>45827</v>
      </c>
      <c r="F646" s="2" cm="1">
        <f t="array" ref="F646">_xlfn.IFS(B646="Owner Surrender",E646,B646="Stray",E646+6,B646="Stray w/identification",E646+11,B646="Bite",E646+10,B646="Other",Blank)</f>
        <v>45833</v>
      </c>
      <c r="G646" s="2">
        <v>45833</v>
      </c>
      <c r="H646" s="5">
        <f t="shared" si="32"/>
        <v>6</v>
      </c>
      <c r="I646" s="5">
        <f t="shared" si="33"/>
        <v>0</v>
      </c>
      <c r="J646" s="2" t="s">
        <v>18</v>
      </c>
      <c r="K646" s="2" t="s">
        <v>586</v>
      </c>
      <c r="L646" t="s">
        <v>34</v>
      </c>
      <c r="AD646" s="33" t="str">
        <f t="shared" si="34"/>
        <v>Wednesday</v>
      </c>
    </row>
    <row r="647" spans="1:30" x14ac:dyDescent="0.2">
      <c r="A647" s="3">
        <v>40945</v>
      </c>
      <c r="B647" s="2" t="s">
        <v>38</v>
      </c>
      <c r="C647" t="s">
        <v>7</v>
      </c>
      <c r="D647" t="s">
        <v>207</v>
      </c>
      <c r="E647" s="2">
        <v>45827</v>
      </c>
      <c r="F647" s="2" cm="1">
        <f t="array" ref="F647">_xlfn.IFS(B647="Owner Surrender",E647,B647="Stray",E647+6,B647="Stray w/identification",E647+11,B647="Bite",E647+10,B647="Other",Blank)</f>
        <v>45833</v>
      </c>
      <c r="G647" s="2">
        <v>45841</v>
      </c>
      <c r="H647" s="5">
        <f t="shared" si="32"/>
        <v>14</v>
      </c>
      <c r="I647" s="5">
        <f t="shared" si="33"/>
        <v>8</v>
      </c>
      <c r="J647" t="s">
        <v>18</v>
      </c>
      <c r="K647" s="2" t="s">
        <v>586</v>
      </c>
      <c r="M647" t="s">
        <v>19</v>
      </c>
      <c r="AD647" s="33" t="str">
        <f t="shared" si="34"/>
        <v>Thursday</v>
      </c>
    </row>
    <row r="648" spans="1:30" x14ac:dyDescent="0.2">
      <c r="A648" s="3">
        <v>40957</v>
      </c>
      <c r="B648" s="2" t="s">
        <v>38</v>
      </c>
      <c r="C648" t="s">
        <v>7</v>
      </c>
      <c r="D648" t="s">
        <v>208</v>
      </c>
      <c r="E648" s="2">
        <v>45828</v>
      </c>
      <c r="F648" s="2" cm="1">
        <f t="array" ref="F648">_xlfn.IFS(B648="Owner Surrender",E648,B648="Stray",E648+6,B648="Stray w/identification",E648+11,B648="Bite",E648+10,B648="Other",Blank)</f>
        <v>45834</v>
      </c>
      <c r="G648" s="2">
        <v>45835</v>
      </c>
      <c r="H648" s="5">
        <f t="shared" si="32"/>
        <v>7</v>
      </c>
      <c r="I648" s="5">
        <f t="shared" si="33"/>
        <v>1</v>
      </c>
      <c r="J648" s="2" t="s">
        <v>31</v>
      </c>
      <c r="K648" s="2" t="s">
        <v>587</v>
      </c>
      <c r="AD648" s="33" t="str">
        <f t="shared" si="34"/>
        <v>Friday</v>
      </c>
    </row>
    <row r="649" spans="1:30" x14ac:dyDescent="0.2">
      <c r="A649" s="3">
        <v>40958</v>
      </c>
      <c r="B649" s="2" t="s">
        <v>38</v>
      </c>
      <c r="C649" t="s">
        <v>7</v>
      </c>
      <c r="D649" t="s">
        <v>209</v>
      </c>
      <c r="E649" s="2">
        <v>45828</v>
      </c>
      <c r="F649" s="2" cm="1">
        <f t="array" ref="F649">_xlfn.IFS(B649="Owner Surrender",E649,B649="Stray",E649+6,B649="Stray w/identification",E649+11,B649="Bite",E649+10,B649="Other",Blank)</f>
        <v>45834</v>
      </c>
      <c r="G649" s="2">
        <v>45841</v>
      </c>
      <c r="H649" s="5">
        <f t="shared" si="32"/>
        <v>13</v>
      </c>
      <c r="I649" s="5">
        <f t="shared" si="33"/>
        <v>7</v>
      </c>
      <c r="J649" s="2" t="s">
        <v>31</v>
      </c>
      <c r="K649" s="2" t="s">
        <v>587</v>
      </c>
      <c r="AD649" s="33" t="str">
        <f t="shared" si="34"/>
        <v>Thursday</v>
      </c>
    </row>
    <row r="650" spans="1:30" x14ac:dyDescent="0.2">
      <c r="A650" s="3">
        <v>40960</v>
      </c>
      <c r="B650" s="2" t="s">
        <v>36</v>
      </c>
      <c r="C650" t="s">
        <v>7</v>
      </c>
      <c r="D650" t="s">
        <v>208</v>
      </c>
      <c r="E650" s="2">
        <v>45828</v>
      </c>
      <c r="F650" s="2" cm="1">
        <f t="array" ref="F650">_xlfn.IFS(B650="Owner Surrender",E650,B650="Stray",E650+6,B650="Stray w/identification",E650+11,B650="Bite",E650+10,B650="Other",Blank)</f>
        <v>45828</v>
      </c>
      <c r="G650" s="2">
        <v>45828</v>
      </c>
      <c r="H650" s="5">
        <f t="shared" si="32"/>
        <v>0</v>
      </c>
      <c r="I650" s="5">
        <f t="shared" si="33"/>
        <v>0</v>
      </c>
      <c r="J650" s="2" t="s">
        <v>31</v>
      </c>
      <c r="K650" s="2" t="s">
        <v>588</v>
      </c>
      <c r="L650" t="s">
        <v>126</v>
      </c>
      <c r="AD650" s="33" t="str">
        <f t="shared" si="34"/>
        <v>Friday</v>
      </c>
    </row>
    <row r="651" spans="1:30" x14ac:dyDescent="0.2">
      <c r="A651" s="3">
        <v>40961</v>
      </c>
      <c r="B651" s="2" t="s">
        <v>36</v>
      </c>
      <c r="C651" t="s">
        <v>7</v>
      </c>
      <c r="D651" t="s">
        <v>208</v>
      </c>
      <c r="E651" s="2">
        <v>45828</v>
      </c>
      <c r="F651" s="2" cm="1">
        <f t="array" ref="F651">_xlfn.IFS(B651="Owner Surrender",E651,B651="Stray",E651+6,B651="Stray w/identification",E651+11,B651="Bite",E651+10,B651="Other",Blank)</f>
        <v>45828</v>
      </c>
      <c r="G651" s="2">
        <v>45828</v>
      </c>
      <c r="H651" s="5">
        <f t="shared" si="32"/>
        <v>0</v>
      </c>
      <c r="I651" s="5">
        <f t="shared" si="33"/>
        <v>0</v>
      </c>
      <c r="J651" s="2" t="s">
        <v>31</v>
      </c>
      <c r="K651" s="2" t="s">
        <v>588</v>
      </c>
      <c r="L651" t="s">
        <v>126</v>
      </c>
      <c r="AD651" s="33" t="str">
        <f t="shared" si="34"/>
        <v>Friday</v>
      </c>
    </row>
    <row r="652" spans="1:30" x14ac:dyDescent="0.2">
      <c r="A652" s="3">
        <v>40962</v>
      </c>
      <c r="B652" s="2" t="s">
        <v>36</v>
      </c>
      <c r="C652" t="s">
        <v>7</v>
      </c>
      <c r="D652" t="s">
        <v>208</v>
      </c>
      <c r="E652" s="2">
        <v>45828</v>
      </c>
      <c r="F652" s="2" cm="1">
        <f t="array" ref="F652">_xlfn.IFS(B652="Owner Surrender",E652,B652="Stray",E652+6,B652="Stray w/identification",E652+11,B652="Bite",E652+10,B652="Other",Blank)</f>
        <v>45828</v>
      </c>
      <c r="G652" s="2">
        <v>45828</v>
      </c>
      <c r="H652" s="5">
        <f t="shared" si="32"/>
        <v>0</v>
      </c>
      <c r="I652" s="5">
        <f t="shared" si="33"/>
        <v>0</v>
      </c>
      <c r="J652" s="2" t="s">
        <v>31</v>
      </c>
      <c r="K652" s="2" t="s">
        <v>588</v>
      </c>
      <c r="L652" t="s">
        <v>126</v>
      </c>
      <c r="AD652" s="33" t="str">
        <f t="shared" si="34"/>
        <v>Friday</v>
      </c>
    </row>
    <row r="653" spans="1:30" x14ac:dyDescent="0.2">
      <c r="A653" s="3">
        <v>40965</v>
      </c>
      <c r="B653" s="2" t="s">
        <v>179</v>
      </c>
      <c r="C653" t="s">
        <v>7</v>
      </c>
      <c r="D653" t="s">
        <v>209</v>
      </c>
      <c r="E653" s="2">
        <v>45828</v>
      </c>
      <c r="F653" s="2" cm="1">
        <f t="array" ref="F653">_xlfn.IFS(B653="Owner Surrender",E653,B653="Stray",E653+6,B653="Stray w/identification",E653+11,B653="Bite",E653+10,B653="Other",Blank)</f>
        <v>45839</v>
      </c>
      <c r="G653" s="2">
        <v>45839</v>
      </c>
      <c r="H653" s="5">
        <f t="shared" si="32"/>
        <v>11</v>
      </c>
      <c r="I653" s="5">
        <f t="shared" si="33"/>
        <v>0</v>
      </c>
      <c r="J653" s="2" t="s">
        <v>31</v>
      </c>
      <c r="K653" s="2" t="s">
        <v>588</v>
      </c>
      <c r="M653" t="s">
        <v>180</v>
      </c>
      <c r="AD653" s="33" t="str">
        <f t="shared" si="34"/>
        <v>Tuesday</v>
      </c>
    </row>
    <row r="654" spans="1:30" x14ac:dyDescent="0.2">
      <c r="A654" s="3">
        <v>40968</v>
      </c>
      <c r="B654" s="2" t="s">
        <v>38</v>
      </c>
      <c r="C654" t="s">
        <v>7</v>
      </c>
      <c r="D654" t="s">
        <v>208</v>
      </c>
      <c r="E654" s="2">
        <v>45829</v>
      </c>
      <c r="F654" s="2" cm="1">
        <f t="array" ref="F654">_xlfn.IFS(B654="Owner Surrender",E654,B654="Stray",E654+6,B654="Stray w/identification",E654+11,B654="Bite",E654+10,B654="Other",Blank)</f>
        <v>45835</v>
      </c>
      <c r="G654" s="2">
        <v>45841</v>
      </c>
      <c r="H654" s="5">
        <f t="shared" si="32"/>
        <v>12</v>
      </c>
      <c r="I654" s="5">
        <f t="shared" si="33"/>
        <v>6</v>
      </c>
      <c r="J654" s="2" t="s">
        <v>31</v>
      </c>
      <c r="K654" s="2" t="s">
        <v>587</v>
      </c>
      <c r="AD654" s="33" t="str">
        <f t="shared" si="34"/>
        <v>Thursday</v>
      </c>
    </row>
    <row r="655" spans="1:30" x14ac:dyDescent="0.2">
      <c r="A655" s="3">
        <v>40969</v>
      </c>
      <c r="B655" s="2" t="s">
        <v>38</v>
      </c>
      <c r="C655" t="s">
        <v>7</v>
      </c>
      <c r="D655" t="s">
        <v>208</v>
      </c>
      <c r="E655" s="2">
        <v>45829</v>
      </c>
      <c r="F655" s="2" cm="1">
        <f t="array" ref="F655">_xlfn.IFS(B655="Owner Surrender",E655,B655="Stray",E655+6,B655="Stray w/identification",E655+11,B655="Bite",E655+10,B655="Other",Blank)</f>
        <v>45835</v>
      </c>
      <c r="G655" s="2">
        <v>45841</v>
      </c>
      <c r="H655" s="5">
        <f t="shared" si="32"/>
        <v>12</v>
      </c>
      <c r="I655" s="5">
        <f t="shared" si="33"/>
        <v>6</v>
      </c>
      <c r="J655" s="2" t="s">
        <v>31</v>
      </c>
      <c r="K655" s="2" t="s">
        <v>587</v>
      </c>
      <c r="AD655" s="33" t="str">
        <f t="shared" si="34"/>
        <v>Thursday</v>
      </c>
    </row>
    <row r="656" spans="1:30" x14ac:dyDescent="0.2">
      <c r="A656" s="3">
        <v>40970</v>
      </c>
      <c r="B656" s="2" t="s">
        <v>38</v>
      </c>
      <c r="C656" t="s">
        <v>7</v>
      </c>
      <c r="D656" t="s">
        <v>208</v>
      </c>
      <c r="E656" s="2">
        <v>45829</v>
      </c>
      <c r="F656" s="2" cm="1">
        <f t="array" ref="F656">_xlfn.IFS(B656="Owner Surrender",E656,B656="Stray",E656+6,B656="Stray w/identification",E656+11,B656="Bite",E656+10,B656="Other",Blank)</f>
        <v>45835</v>
      </c>
      <c r="G656" s="2">
        <v>45841</v>
      </c>
      <c r="H656" s="5">
        <f t="shared" si="32"/>
        <v>12</v>
      </c>
      <c r="I656" s="5">
        <f t="shared" si="33"/>
        <v>6</v>
      </c>
      <c r="J656" s="2" t="s">
        <v>31</v>
      </c>
      <c r="K656" s="2" t="s">
        <v>587</v>
      </c>
      <c r="AD656" s="33" t="str">
        <f t="shared" si="34"/>
        <v>Thursday</v>
      </c>
    </row>
    <row r="657" spans="1:30" x14ac:dyDescent="0.2">
      <c r="A657" s="3">
        <v>40976</v>
      </c>
      <c r="B657" s="2" t="s">
        <v>38</v>
      </c>
      <c r="C657" t="s">
        <v>7</v>
      </c>
      <c r="D657" t="s">
        <v>208</v>
      </c>
      <c r="E657" s="2">
        <v>45830</v>
      </c>
      <c r="F657" s="2" cm="1">
        <f t="array" ref="F657">_xlfn.IFS(B657="Owner Surrender",E657,B657="Stray",E657+6,B657="Stray w/identification",E657+11,B657="Bite",E657+10,B657="Other",Blank)</f>
        <v>45836</v>
      </c>
      <c r="G657" s="2">
        <v>45836</v>
      </c>
      <c r="H657" s="5">
        <f t="shared" si="32"/>
        <v>6</v>
      </c>
      <c r="I657" s="5">
        <f t="shared" si="33"/>
        <v>0</v>
      </c>
      <c r="J657" s="2" t="s">
        <v>11</v>
      </c>
      <c r="K657" s="2" t="s">
        <v>586</v>
      </c>
      <c r="AD657" s="33" t="str">
        <f t="shared" si="34"/>
        <v>Saturday</v>
      </c>
    </row>
    <row r="658" spans="1:30" x14ac:dyDescent="0.2">
      <c r="A658" s="3">
        <v>40977</v>
      </c>
      <c r="B658" s="2" t="s">
        <v>38</v>
      </c>
      <c r="C658" t="s">
        <v>7</v>
      </c>
      <c r="D658" t="s">
        <v>209</v>
      </c>
      <c r="E658" s="2">
        <v>45830</v>
      </c>
      <c r="F658" s="2" cm="1">
        <f t="array" ref="F658">_xlfn.IFS(B658="Owner Surrender",E658,B658="Stray",E658+6,B658="Stray w/identification",E658+11,B658="Bite",E658+10,B658="Other",Blank)</f>
        <v>45836</v>
      </c>
      <c r="G658" s="2">
        <v>45847</v>
      </c>
      <c r="H658" s="5">
        <f t="shared" si="32"/>
        <v>17</v>
      </c>
      <c r="I658" s="5">
        <f t="shared" si="33"/>
        <v>11</v>
      </c>
      <c r="J658" t="s">
        <v>18</v>
      </c>
      <c r="K658" s="2" t="s">
        <v>586</v>
      </c>
      <c r="L658" t="s">
        <v>26</v>
      </c>
      <c r="M658" t="s">
        <v>19</v>
      </c>
      <c r="AD658" s="33" t="str">
        <f t="shared" si="34"/>
        <v>Wednesday</v>
      </c>
    </row>
    <row r="659" spans="1:30" x14ac:dyDescent="0.2">
      <c r="A659" s="3">
        <v>40979</v>
      </c>
      <c r="B659" s="2" t="s">
        <v>38</v>
      </c>
      <c r="C659" t="s">
        <v>7</v>
      </c>
      <c r="D659" t="s">
        <v>208</v>
      </c>
      <c r="E659" s="2">
        <v>45830</v>
      </c>
      <c r="F659" s="2" cm="1">
        <f t="array" ref="F659">_xlfn.IFS(B659="Owner Surrender",E659,B659="Stray",E659+6,B659="Stray w/identification",E659+11,B659="Bite",E659+10,B659="Other",Blank)</f>
        <v>45836</v>
      </c>
      <c r="G659" s="2">
        <v>45847</v>
      </c>
      <c r="H659" s="5">
        <f t="shared" si="32"/>
        <v>17</v>
      </c>
      <c r="I659" s="5">
        <f t="shared" si="33"/>
        <v>11</v>
      </c>
      <c r="J659" t="s">
        <v>18</v>
      </c>
      <c r="K659" s="2" t="s">
        <v>586</v>
      </c>
      <c r="M659" t="s">
        <v>19</v>
      </c>
      <c r="AD659" s="33" t="str">
        <f t="shared" si="34"/>
        <v>Wednesday</v>
      </c>
    </row>
    <row r="660" spans="1:30" x14ac:dyDescent="0.2">
      <c r="A660" s="3">
        <v>40980</v>
      </c>
      <c r="B660" s="2" t="s">
        <v>38</v>
      </c>
      <c r="C660" t="s">
        <v>7</v>
      </c>
      <c r="D660" t="s">
        <v>208</v>
      </c>
      <c r="E660" s="2">
        <v>45830</v>
      </c>
      <c r="F660" s="2" cm="1">
        <f t="array" ref="F660">_xlfn.IFS(B660="Owner Surrender",E660,B660="Stray",E660+6,B660="Stray w/identification",E660+11,B660="Bite",E660+10,B660="Other",Blank)</f>
        <v>45836</v>
      </c>
      <c r="G660" s="2">
        <v>45847</v>
      </c>
      <c r="H660" s="5">
        <f t="shared" si="32"/>
        <v>17</v>
      </c>
      <c r="I660" s="5">
        <f t="shared" si="33"/>
        <v>11</v>
      </c>
      <c r="J660" t="s">
        <v>18</v>
      </c>
      <c r="K660" s="2" t="s">
        <v>586</v>
      </c>
      <c r="M660" t="s">
        <v>19</v>
      </c>
      <c r="AD660" s="33" t="str">
        <f t="shared" si="34"/>
        <v>Wednesday</v>
      </c>
    </row>
    <row r="661" spans="1:30" x14ac:dyDescent="0.2">
      <c r="A661" s="3">
        <v>40981</v>
      </c>
      <c r="B661" s="2" t="s">
        <v>38</v>
      </c>
      <c r="C661" t="s">
        <v>7</v>
      </c>
      <c r="D661" t="s">
        <v>208</v>
      </c>
      <c r="E661" s="2">
        <v>45830</v>
      </c>
      <c r="F661" s="2" cm="1">
        <f t="array" ref="F661">_xlfn.IFS(B661="Owner Surrender",E661,B661="Stray",E661+6,B661="Stray w/identification",E661+11,B661="Bite",E661+10,B661="Other",Blank)</f>
        <v>45836</v>
      </c>
      <c r="G661" s="2">
        <v>45847</v>
      </c>
      <c r="H661" s="5">
        <f t="shared" si="32"/>
        <v>17</v>
      </c>
      <c r="I661" s="5">
        <f t="shared" si="33"/>
        <v>11</v>
      </c>
      <c r="J661" t="s">
        <v>18</v>
      </c>
      <c r="K661" s="2" t="s">
        <v>586</v>
      </c>
      <c r="L661" t="s">
        <v>181</v>
      </c>
      <c r="M661" t="s">
        <v>19</v>
      </c>
      <c r="AD661" s="33" t="str">
        <f t="shared" si="34"/>
        <v>Wednesday</v>
      </c>
    </row>
    <row r="662" spans="1:30" x14ac:dyDescent="0.2">
      <c r="A662" s="3">
        <v>40988</v>
      </c>
      <c r="B662" s="2" t="s">
        <v>36</v>
      </c>
      <c r="C662" t="s">
        <v>7</v>
      </c>
      <c r="D662" t="s">
        <v>208</v>
      </c>
      <c r="E662" s="2">
        <v>45832</v>
      </c>
      <c r="F662" s="2" cm="1">
        <f t="array" ref="F662">_xlfn.IFS(B662="Owner Surrender",E662,B662="Stray",E662+6,B662="Stray w/identification",E662+11,B662="Bite",E662+10,B662="Other",Blank)</f>
        <v>45832</v>
      </c>
      <c r="G662" s="2">
        <v>45841</v>
      </c>
      <c r="H662" s="5">
        <f t="shared" si="32"/>
        <v>9</v>
      </c>
      <c r="I662" s="5">
        <f t="shared" si="33"/>
        <v>9</v>
      </c>
      <c r="J662" s="2" t="s">
        <v>31</v>
      </c>
      <c r="K662" s="2" t="s">
        <v>587</v>
      </c>
      <c r="AD662" s="33" t="str">
        <f t="shared" si="34"/>
        <v>Thursday</v>
      </c>
    </row>
    <row r="663" spans="1:30" x14ac:dyDescent="0.2">
      <c r="A663" s="3">
        <v>40991</v>
      </c>
      <c r="B663" s="2" t="s">
        <v>38</v>
      </c>
      <c r="C663" t="s">
        <v>7</v>
      </c>
      <c r="D663" t="s">
        <v>208</v>
      </c>
      <c r="E663" s="2">
        <v>45833</v>
      </c>
      <c r="F663" s="2" cm="1">
        <f t="array" ref="F663">_xlfn.IFS(B663="Owner Surrender",E663,B663="Stray",E663+6,B663="Stray w/identification",E663+11,B663="Bite",E663+10,B663="Other",Blank)</f>
        <v>45839</v>
      </c>
      <c r="G663" s="2">
        <v>45841</v>
      </c>
      <c r="H663" s="5">
        <f t="shared" si="32"/>
        <v>8</v>
      </c>
      <c r="I663" s="5">
        <f t="shared" si="33"/>
        <v>2</v>
      </c>
      <c r="J663" s="2" t="s">
        <v>31</v>
      </c>
      <c r="K663" s="2" t="s">
        <v>587</v>
      </c>
      <c r="M663" t="s">
        <v>34</v>
      </c>
      <c r="AD663" s="33" t="str">
        <f t="shared" si="34"/>
        <v>Thursday</v>
      </c>
    </row>
    <row r="664" spans="1:30" x14ac:dyDescent="0.2">
      <c r="A664" s="3">
        <v>40995</v>
      </c>
      <c r="B664" s="2" t="s">
        <v>38</v>
      </c>
      <c r="C664" t="s">
        <v>7</v>
      </c>
      <c r="D664" t="s">
        <v>208</v>
      </c>
      <c r="E664" s="2">
        <v>45833</v>
      </c>
      <c r="F664" s="2" cm="1">
        <f t="array" ref="F664">_xlfn.IFS(B664="Owner Surrender",E664,B664="Stray",E664+6,B664="Stray w/identification",E664+11,B664="Bite",E664+10,B664="Other",Blank)</f>
        <v>45839</v>
      </c>
      <c r="G664" s="2">
        <v>45841</v>
      </c>
      <c r="H664" s="5">
        <f t="shared" si="32"/>
        <v>8</v>
      </c>
      <c r="I664" s="5">
        <f t="shared" si="33"/>
        <v>2</v>
      </c>
      <c r="J664" s="2" t="s">
        <v>31</v>
      </c>
      <c r="K664" s="2" t="s">
        <v>587</v>
      </c>
      <c r="AD664" s="33" t="str">
        <f t="shared" si="34"/>
        <v>Thursday</v>
      </c>
    </row>
    <row r="665" spans="1:30" x14ac:dyDescent="0.2">
      <c r="A665" s="3">
        <v>40996</v>
      </c>
      <c r="B665" s="2" t="s">
        <v>36</v>
      </c>
      <c r="C665" t="s">
        <v>7</v>
      </c>
      <c r="D665" t="s">
        <v>207</v>
      </c>
      <c r="E665" s="2">
        <v>45833</v>
      </c>
      <c r="F665" s="2" cm="1">
        <f t="array" ref="F665">_xlfn.IFS(B665="Owner Surrender",E665,B665="Stray",E665+6,B665="Stray w/identification",E665+11,B665="Bite",E665+10,B665="Other",Blank)</f>
        <v>45833</v>
      </c>
      <c r="G665" s="2">
        <v>45839</v>
      </c>
      <c r="H665" s="5">
        <f t="shared" si="32"/>
        <v>6</v>
      </c>
      <c r="I665" s="5">
        <f t="shared" si="33"/>
        <v>6</v>
      </c>
      <c r="J665" s="2" t="s">
        <v>31</v>
      </c>
      <c r="K665" s="2" t="s">
        <v>587</v>
      </c>
      <c r="L665" s="2" t="s">
        <v>116</v>
      </c>
      <c r="AD665" s="33" t="str">
        <f t="shared" si="34"/>
        <v>Tuesday</v>
      </c>
    </row>
    <row r="666" spans="1:30" x14ac:dyDescent="0.2">
      <c r="A666" s="3">
        <v>41001</v>
      </c>
      <c r="B666" s="2" t="s">
        <v>38</v>
      </c>
      <c r="C666" t="s">
        <v>10</v>
      </c>
      <c r="D666" t="s">
        <v>207</v>
      </c>
      <c r="E666" s="2">
        <v>45834</v>
      </c>
      <c r="F666" s="2" cm="1">
        <f t="array" ref="F666">_xlfn.IFS(B666="Owner Surrender",E666,B666="Stray",E666+6,B666="Stray w/identification",E666+11,B666="Bite",E666+10,B666="Other",Blank)</f>
        <v>45840</v>
      </c>
      <c r="G666" s="2">
        <v>45866</v>
      </c>
      <c r="H666" s="5">
        <f t="shared" si="32"/>
        <v>32</v>
      </c>
      <c r="I666" s="5">
        <f t="shared" si="33"/>
        <v>26</v>
      </c>
      <c r="J666" s="2" t="s">
        <v>11</v>
      </c>
      <c r="K666" s="2" t="s">
        <v>586</v>
      </c>
      <c r="L666" t="s">
        <v>20</v>
      </c>
      <c r="AD666" s="33" t="str">
        <f t="shared" si="34"/>
        <v>Monday</v>
      </c>
    </row>
    <row r="667" spans="1:30" x14ac:dyDescent="0.2">
      <c r="A667" s="3">
        <v>41004</v>
      </c>
      <c r="B667" s="2" t="s">
        <v>36</v>
      </c>
      <c r="C667" t="s">
        <v>7</v>
      </c>
      <c r="D667" t="s">
        <v>208</v>
      </c>
      <c r="E667" s="2">
        <v>45834</v>
      </c>
      <c r="F667" s="2" cm="1">
        <f t="array" ref="F667">_xlfn.IFS(B667="Owner Surrender",E667,B667="Stray",E667+6,B667="Stray w/identification",E667+11,B667="Bite",E667+10,B667="Other",Blank)</f>
        <v>45834</v>
      </c>
      <c r="G667" s="2">
        <v>45841</v>
      </c>
      <c r="H667" s="5">
        <f t="shared" si="32"/>
        <v>7</v>
      </c>
      <c r="I667" s="5">
        <f t="shared" si="33"/>
        <v>7</v>
      </c>
      <c r="J667" s="2" t="s">
        <v>31</v>
      </c>
      <c r="K667" s="2" t="s">
        <v>587</v>
      </c>
      <c r="AD667" s="33" t="str">
        <f t="shared" si="34"/>
        <v>Thursday</v>
      </c>
    </row>
    <row r="668" spans="1:30" x14ac:dyDescent="0.2">
      <c r="A668" s="3">
        <v>41005</v>
      </c>
      <c r="B668" s="2" t="s">
        <v>36</v>
      </c>
      <c r="C668" t="s">
        <v>7</v>
      </c>
      <c r="D668" t="s">
        <v>208</v>
      </c>
      <c r="E668" s="2">
        <v>45834</v>
      </c>
      <c r="F668" s="2" cm="1">
        <f t="array" ref="F668">_xlfn.IFS(B668="Owner Surrender",E668,B668="Stray",E668+6,B668="Stray w/identification",E668+11,B668="Bite",E668+10,B668="Other",Blank)</f>
        <v>45834</v>
      </c>
      <c r="G668" s="2">
        <v>45841</v>
      </c>
      <c r="H668" s="5">
        <f t="shared" si="32"/>
        <v>7</v>
      </c>
      <c r="I668" s="5">
        <f t="shared" si="33"/>
        <v>7</v>
      </c>
      <c r="J668" s="2" t="s">
        <v>31</v>
      </c>
      <c r="K668" s="2" t="s">
        <v>587</v>
      </c>
      <c r="AD668" s="33" t="str">
        <f t="shared" si="34"/>
        <v>Thursday</v>
      </c>
    </row>
    <row r="669" spans="1:30" x14ac:dyDescent="0.2">
      <c r="A669" s="3">
        <v>41006</v>
      </c>
      <c r="B669" s="2" t="s">
        <v>36</v>
      </c>
      <c r="C669" t="s">
        <v>7</v>
      </c>
      <c r="D669" t="s">
        <v>208</v>
      </c>
      <c r="E669" s="2">
        <v>45834</v>
      </c>
      <c r="F669" s="2" cm="1">
        <f t="array" ref="F669">_xlfn.IFS(B669="Owner Surrender",E669,B669="Stray",E669+6,B669="Stray w/identification",E669+11,B669="Bite",E669+10,B669="Other",Blank)</f>
        <v>45834</v>
      </c>
      <c r="G669" s="2">
        <v>45841</v>
      </c>
      <c r="H669" s="5">
        <f t="shared" si="32"/>
        <v>7</v>
      </c>
      <c r="I669" s="5">
        <f t="shared" si="33"/>
        <v>7</v>
      </c>
      <c r="J669" s="2" t="s">
        <v>31</v>
      </c>
      <c r="K669" s="2" t="s">
        <v>587</v>
      </c>
      <c r="AD669" s="33" t="str">
        <f t="shared" si="34"/>
        <v>Thursday</v>
      </c>
    </row>
    <row r="670" spans="1:30" x14ac:dyDescent="0.2">
      <c r="A670" s="3">
        <v>41012</v>
      </c>
      <c r="B670" s="2" t="s">
        <v>36</v>
      </c>
      <c r="C670" t="s">
        <v>7</v>
      </c>
      <c r="D670" t="s">
        <v>208</v>
      </c>
      <c r="E670" s="2">
        <v>45834</v>
      </c>
      <c r="F670" s="2" cm="1">
        <f t="array" ref="F670">_xlfn.IFS(B670="Owner Surrender",E670,B670="Stray",E670+6,B670="Stray w/identification",E670+11,B670="Bite",E670+10,B670="Other",Blank)</f>
        <v>45834</v>
      </c>
      <c r="G670" s="2">
        <v>45838</v>
      </c>
      <c r="H670" s="5">
        <f t="shared" si="32"/>
        <v>4</v>
      </c>
      <c r="I670" s="5">
        <f t="shared" si="33"/>
        <v>4</v>
      </c>
      <c r="J670" t="s">
        <v>31</v>
      </c>
      <c r="K670" s="2" t="s">
        <v>587</v>
      </c>
      <c r="AD670" s="33" t="str">
        <f t="shared" si="34"/>
        <v>Monday</v>
      </c>
    </row>
    <row r="671" spans="1:30" x14ac:dyDescent="0.2">
      <c r="A671" s="3">
        <v>41014</v>
      </c>
      <c r="B671" s="2" t="s">
        <v>38</v>
      </c>
      <c r="C671" t="s">
        <v>7</v>
      </c>
      <c r="D671" t="s">
        <v>208</v>
      </c>
      <c r="E671" s="2">
        <v>45835</v>
      </c>
      <c r="F671" s="2" cm="1">
        <f t="array" ref="F671">_xlfn.IFS(B671="Owner Surrender",E671,B671="Stray",E671+6,B671="Stray w/identification",E671+11,B671="Bite",E671+10,B671="Other",Blank)</f>
        <v>45841</v>
      </c>
      <c r="G671" s="2">
        <v>45846</v>
      </c>
      <c r="H671" s="5">
        <f t="shared" si="32"/>
        <v>11</v>
      </c>
      <c r="I671" s="5">
        <f t="shared" si="33"/>
        <v>5</v>
      </c>
      <c r="J671" s="2" t="s">
        <v>31</v>
      </c>
      <c r="K671" s="2" t="s">
        <v>587</v>
      </c>
      <c r="AD671" s="33" t="str">
        <f t="shared" si="34"/>
        <v>Tuesday</v>
      </c>
    </row>
    <row r="672" spans="1:30" x14ac:dyDescent="0.2">
      <c r="A672" s="3">
        <v>41015</v>
      </c>
      <c r="B672" s="2" t="s">
        <v>38</v>
      </c>
      <c r="C672" t="s">
        <v>7</v>
      </c>
      <c r="D672" t="s">
        <v>208</v>
      </c>
      <c r="E672" s="2">
        <v>45835</v>
      </c>
      <c r="F672" s="2" cm="1">
        <f t="array" ref="F672">_xlfn.IFS(B672="Owner Surrender",E672,B672="Stray",E672+6,B672="Stray w/identification",E672+11,B672="Bite",E672+10,B672="Other",Blank)</f>
        <v>45841</v>
      </c>
      <c r="G672" s="2">
        <v>45846</v>
      </c>
      <c r="H672" s="5">
        <f t="shared" si="32"/>
        <v>11</v>
      </c>
      <c r="I672" s="5">
        <f t="shared" si="33"/>
        <v>5</v>
      </c>
      <c r="J672" s="2" t="s">
        <v>31</v>
      </c>
      <c r="K672" s="2" t="s">
        <v>587</v>
      </c>
      <c r="AD672" s="33" t="str">
        <f t="shared" si="34"/>
        <v>Tuesday</v>
      </c>
    </row>
    <row r="673" spans="1:30" x14ac:dyDescent="0.2">
      <c r="A673" s="3">
        <v>41016</v>
      </c>
      <c r="B673" s="2" t="s">
        <v>38</v>
      </c>
      <c r="C673" t="s">
        <v>7</v>
      </c>
      <c r="D673" t="s">
        <v>207</v>
      </c>
      <c r="E673" s="2">
        <v>45832</v>
      </c>
      <c r="F673" s="2" cm="1">
        <f t="array" ref="F673">_xlfn.IFS(B673="Owner Surrender",E673,B673="Stray",E673+6,B673="Stray w/identification",E673+11,B673="Bite",E673+10,B673="Other",Blank)</f>
        <v>45838</v>
      </c>
      <c r="G673" s="2">
        <v>45841</v>
      </c>
      <c r="H673" s="5">
        <f t="shared" si="32"/>
        <v>9</v>
      </c>
      <c r="I673" s="5">
        <f t="shared" si="33"/>
        <v>3</v>
      </c>
      <c r="J673" s="2" t="s">
        <v>31</v>
      </c>
      <c r="K673" s="2" t="s">
        <v>587</v>
      </c>
      <c r="AD673" s="33" t="str">
        <f t="shared" si="34"/>
        <v>Thursday</v>
      </c>
    </row>
    <row r="674" spans="1:30" x14ac:dyDescent="0.2">
      <c r="A674" s="3">
        <v>41017</v>
      </c>
      <c r="B674" s="2" t="s">
        <v>36</v>
      </c>
      <c r="C674" t="s">
        <v>7</v>
      </c>
      <c r="D674" t="s">
        <v>207</v>
      </c>
      <c r="E674" s="2">
        <v>45835</v>
      </c>
      <c r="F674" s="2" cm="1">
        <f t="array" ref="F674">_xlfn.IFS(B674="Owner Surrender",E674,B674="Stray",E674+6,B674="Stray w/identification",E674+11,B674="Bite",E674+10,B674="Other",Blank)</f>
        <v>45835</v>
      </c>
      <c r="H674" s="5">
        <f t="shared" si="32"/>
        <v>-45835</v>
      </c>
      <c r="I674" s="5">
        <f t="shared" si="33"/>
        <v>-45835</v>
      </c>
      <c r="J674" s="2" t="s">
        <v>21</v>
      </c>
      <c r="K674" s="2" t="s">
        <v>586</v>
      </c>
      <c r="L674" t="s">
        <v>410</v>
      </c>
      <c r="AD674" s="33" t="str">
        <f t="shared" si="34"/>
        <v>Saturday</v>
      </c>
    </row>
    <row r="675" spans="1:30" x14ac:dyDescent="0.2">
      <c r="A675" s="3">
        <v>41018</v>
      </c>
      <c r="B675" s="2" t="s">
        <v>36</v>
      </c>
      <c r="C675" t="s">
        <v>7</v>
      </c>
      <c r="D675" t="s">
        <v>208</v>
      </c>
      <c r="E675" s="2">
        <v>45835</v>
      </c>
      <c r="F675" s="2" cm="1">
        <f t="array" ref="F675">_xlfn.IFS(B675="Owner Surrender",E675,B675="Stray",E675+6,B675="Stray w/identification",E675+11,B675="Bite",E675+10,B675="Other",Blank)</f>
        <v>45835</v>
      </c>
      <c r="G675" s="2">
        <v>45856</v>
      </c>
      <c r="H675" s="5">
        <f t="shared" si="32"/>
        <v>21</v>
      </c>
      <c r="I675" s="5">
        <f t="shared" si="33"/>
        <v>21</v>
      </c>
      <c r="J675" s="2" t="s">
        <v>11</v>
      </c>
      <c r="K675" s="2" t="s">
        <v>586</v>
      </c>
      <c r="AD675" s="33" t="str">
        <f t="shared" si="34"/>
        <v>Friday</v>
      </c>
    </row>
    <row r="676" spans="1:30" x14ac:dyDescent="0.2">
      <c r="A676" s="3">
        <v>41019</v>
      </c>
      <c r="B676" s="2" t="s">
        <v>36</v>
      </c>
      <c r="C676" t="s">
        <v>7</v>
      </c>
      <c r="D676" t="s">
        <v>207</v>
      </c>
      <c r="E676" s="2">
        <v>45835</v>
      </c>
      <c r="F676" s="2" cm="1">
        <f t="array" ref="F676">_xlfn.IFS(B676="Owner Surrender",E676,B676="Stray",E676+6,B676="Stray w/identification",E676+11,B676="Bite",E676+10,B676="Other",Blank)</f>
        <v>45835</v>
      </c>
      <c r="G676" s="2">
        <v>45852</v>
      </c>
      <c r="H676" s="5">
        <f t="shared" si="32"/>
        <v>17</v>
      </c>
      <c r="I676" s="5">
        <f t="shared" si="33"/>
        <v>17</v>
      </c>
      <c r="J676" t="s">
        <v>31</v>
      </c>
      <c r="K676" s="2" t="s">
        <v>587</v>
      </c>
      <c r="L676" t="s">
        <v>32</v>
      </c>
      <c r="AD676" s="33" t="str">
        <f t="shared" si="34"/>
        <v>Monday</v>
      </c>
    </row>
    <row r="677" spans="1:30" x14ac:dyDescent="0.2">
      <c r="A677" s="3">
        <v>41021</v>
      </c>
      <c r="B677" s="2" t="s">
        <v>38</v>
      </c>
      <c r="C677" t="s">
        <v>7</v>
      </c>
      <c r="D677" t="s">
        <v>208</v>
      </c>
      <c r="E677" s="2">
        <v>45836</v>
      </c>
      <c r="F677" s="2" cm="1">
        <f t="array" ref="F677">_xlfn.IFS(B677="Owner Surrender",E677,B677="Stray",E677+6,B677="Stray w/identification",E677+11,B677="Bite",E677+10,B677="Other",Blank)</f>
        <v>45842</v>
      </c>
      <c r="G677" s="2">
        <v>45841</v>
      </c>
      <c r="H677" s="5">
        <f t="shared" si="32"/>
        <v>5</v>
      </c>
      <c r="I677" s="5">
        <f t="shared" si="33"/>
        <v>-1</v>
      </c>
      <c r="J677" s="2" t="s">
        <v>31</v>
      </c>
      <c r="K677" s="2" t="s">
        <v>588</v>
      </c>
      <c r="M677" t="s">
        <v>118</v>
      </c>
      <c r="AD677" s="33" t="str">
        <f t="shared" si="34"/>
        <v>Thursday</v>
      </c>
    </row>
    <row r="678" spans="1:30" x14ac:dyDescent="0.2">
      <c r="A678" s="3">
        <v>41027</v>
      </c>
      <c r="B678" s="2" t="s">
        <v>36</v>
      </c>
      <c r="C678" t="s">
        <v>10</v>
      </c>
      <c r="D678" t="s">
        <v>207</v>
      </c>
      <c r="E678" s="2">
        <v>45836</v>
      </c>
      <c r="F678" s="2" cm="1">
        <f t="array" ref="F678">_xlfn.IFS(B678="Owner Surrender",E678,B678="Stray",E678+6,B678="Stray w/identification",E678+11,B678="Bite",E678+10,B678="Other",Blank)</f>
        <v>45836</v>
      </c>
      <c r="G678" s="2">
        <v>45838</v>
      </c>
      <c r="H678" s="5">
        <f t="shared" si="32"/>
        <v>2</v>
      </c>
      <c r="I678" s="5">
        <f t="shared" si="33"/>
        <v>2</v>
      </c>
      <c r="J678" s="2" t="s">
        <v>31</v>
      </c>
      <c r="K678" s="2" t="s">
        <v>587</v>
      </c>
      <c r="AD678" s="33" t="str">
        <f t="shared" si="34"/>
        <v>Monday</v>
      </c>
    </row>
    <row r="679" spans="1:30" x14ac:dyDescent="0.2">
      <c r="A679" s="3">
        <v>41030</v>
      </c>
      <c r="B679" s="2" t="s">
        <v>36</v>
      </c>
      <c r="C679" t="s">
        <v>7</v>
      </c>
      <c r="D679" t="s">
        <v>209</v>
      </c>
      <c r="E679" s="2">
        <v>45836</v>
      </c>
      <c r="F679" s="2" cm="1">
        <f t="array" ref="F679">_xlfn.IFS(B679="Owner Surrender",E679,B679="Stray",E679+6,B679="Stray w/identification",E679+11,B679="Bite",E679+10,B679="Other",Blank)</f>
        <v>45836</v>
      </c>
      <c r="G679" s="2">
        <v>45841</v>
      </c>
      <c r="H679" s="5">
        <f t="shared" ref="H679:H730" si="35">+G679-E679</f>
        <v>5</v>
      </c>
      <c r="I679" s="5">
        <f t="shared" si="33"/>
        <v>5</v>
      </c>
      <c r="J679" s="2" t="s">
        <v>31</v>
      </c>
      <c r="K679" s="2" t="s">
        <v>587</v>
      </c>
      <c r="AD679" s="33" t="str">
        <f t="shared" si="34"/>
        <v>Thursday</v>
      </c>
    </row>
    <row r="680" spans="1:30" x14ac:dyDescent="0.2">
      <c r="A680" s="3">
        <v>41031</v>
      </c>
      <c r="B680" s="2" t="s">
        <v>36</v>
      </c>
      <c r="C680" t="s">
        <v>7</v>
      </c>
      <c r="D680" t="s">
        <v>207</v>
      </c>
      <c r="E680" s="2">
        <v>45836</v>
      </c>
      <c r="F680" s="2" cm="1">
        <f t="array" ref="F680">_xlfn.IFS(B680="Owner Surrender",E680,B680="Stray",E680+6,B680="Stray w/identification",E680+11,B680="Bite",E680+10,B680="Other",Blank)</f>
        <v>45836</v>
      </c>
      <c r="G680" s="2">
        <v>45863</v>
      </c>
      <c r="H680" s="5">
        <f t="shared" si="35"/>
        <v>27</v>
      </c>
      <c r="I680" s="5">
        <f t="shared" si="33"/>
        <v>27</v>
      </c>
      <c r="J680" s="2" t="s">
        <v>11</v>
      </c>
      <c r="K680" s="2" t="s">
        <v>586</v>
      </c>
      <c r="L680" t="s">
        <v>17</v>
      </c>
      <c r="AD680" s="33" t="str">
        <f t="shared" si="34"/>
        <v>Friday</v>
      </c>
    </row>
    <row r="681" spans="1:30" x14ac:dyDescent="0.2">
      <c r="A681" s="3">
        <v>41037</v>
      </c>
      <c r="B681" s="2" t="s">
        <v>36</v>
      </c>
      <c r="C681" t="s">
        <v>7</v>
      </c>
      <c r="D681" t="s">
        <v>209</v>
      </c>
      <c r="E681" s="2">
        <v>45836</v>
      </c>
      <c r="F681" s="2" cm="1">
        <f t="array" ref="F681">_xlfn.IFS(B681="Owner Surrender",E681,B681="Stray",E681+6,B681="Stray w/identification",E681+11,B681="Bite",E681+10,B681="Other",Blank)</f>
        <v>45836</v>
      </c>
      <c r="G681" s="2">
        <v>45841</v>
      </c>
      <c r="H681" s="5">
        <f t="shared" si="35"/>
        <v>5</v>
      </c>
      <c r="I681" s="5">
        <f t="shared" ref="I681:I730" si="36">G681-F681</f>
        <v>5</v>
      </c>
      <c r="J681" s="2" t="s">
        <v>31</v>
      </c>
      <c r="K681" s="2" t="s">
        <v>587</v>
      </c>
      <c r="AD681" s="33" t="str">
        <f t="shared" si="34"/>
        <v>Thursday</v>
      </c>
    </row>
    <row r="682" spans="1:30" x14ac:dyDescent="0.2">
      <c r="A682" s="3">
        <v>41040</v>
      </c>
      <c r="B682" s="2" t="s">
        <v>36</v>
      </c>
      <c r="C682" t="s">
        <v>7</v>
      </c>
      <c r="D682" t="s">
        <v>207</v>
      </c>
      <c r="E682" s="2">
        <v>45836</v>
      </c>
      <c r="F682" s="2" cm="1">
        <f t="array" ref="F682">_xlfn.IFS(B682="Owner Surrender",E682,B682="Stray",E682+6,B682="Stray w/identification",E682+11,B682="Bite",E682+10,B682="Other",Blank)</f>
        <v>45836</v>
      </c>
      <c r="G682" s="2">
        <v>45838</v>
      </c>
      <c r="H682" s="5">
        <f t="shared" si="35"/>
        <v>2</v>
      </c>
      <c r="I682" s="5">
        <f t="shared" si="36"/>
        <v>2</v>
      </c>
      <c r="J682" s="2" t="s">
        <v>31</v>
      </c>
      <c r="K682" s="2" t="s">
        <v>587</v>
      </c>
      <c r="AD682" s="33" t="str">
        <f t="shared" si="34"/>
        <v>Monday</v>
      </c>
    </row>
    <row r="683" spans="1:30" x14ac:dyDescent="0.2">
      <c r="A683" s="3">
        <v>41041</v>
      </c>
      <c r="B683" s="2" t="s">
        <v>36</v>
      </c>
      <c r="C683" t="s">
        <v>7</v>
      </c>
      <c r="D683" t="s">
        <v>208</v>
      </c>
      <c r="E683" s="2">
        <v>45836</v>
      </c>
      <c r="F683" s="2" cm="1">
        <f t="array" ref="F683">_xlfn.IFS(B683="Owner Surrender",E683,B683="Stray",E683+6,B683="Stray w/identification",E683+11,B683="Bite",E683+10,B683="Other",Blank)</f>
        <v>45836</v>
      </c>
      <c r="G683" s="2">
        <v>45841</v>
      </c>
      <c r="H683" s="5">
        <f t="shared" si="35"/>
        <v>5</v>
      </c>
      <c r="I683" s="5">
        <f t="shared" si="36"/>
        <v>5</v>
      </c>
      <c r="J683" s="2" t="s">
        <v>31</v>
      </c>
      <c r="K683" s="2" t="s">
        <v>587</v>
      </c>
      <c r="AD683" s="33" t="str">
        <f t="shared" si="34"/>
        <v>Thursday</v>
      </c>
    </row>
    <row r="684" spans="1:30" x14ac:dyDescent="0.2">
      <c r="A684" s="3">
        <v>41042</v>
      </c>
      <c r="B684" s="2" t="s">
        <v>36</v>
      </c>
      <c r="C684" t="s">
        <v>7</v>
      </c>
      <c r="D684" t="s">
        <v>208</v>
      </c>
      <c r="E684" s="2">
        <v>45836</v>
      </c>
      <c r="F684" s="2" cm="1">
        <f t="array" ref="F684">_xlfn.IFS(B684="Owner Surrender",E684,B684="Stray",E684+6,B684="Stray w/identification",E684+11,B684="Bite",E684+10,B684="Other",Blank)</f>
        <v>45836</v>
      </c>
      <c r="G684" s="2">
        <v>45841</v>
      </c>
      <c r="H684" s="5">
        <f t="shared" si="35"/>
        <v>5</v>
      </c>
      <c r="I684" s="5">
        <f t="shared" si="36"/>
        <v>5</v>
      </c>
      <c r="J684" s="2" t="s">
        <v>31</v>
      </c>
      <c r="K684" s="2" t="s">
        <v>587</v>
      </c>
      <c r="AD684" s="33" t="str">
        <f t="shared" si="34"/>
        <v>Thursday</v>
      </c>
    </row>
    <row r="685" spans="1:30" x14ac:dyDescent="0.2">
      <c r="A685" s="3">
        <v>41044</v>
      </c>
      <c r="B685" s="2" t="s">
        <v>38</v>
      </c>
      <c r="C685" t="s">
        <v>7</v>
      </c>
      <c r="D685" t="s">
        <v>208</v>
      </c>
      <c r="E685" s="2">
        <v>45837</v>
      </c>
      <c r="F685" s="2" cm="1">
        <f t="array" ref="F685">_xlfn.IFS(B685="Owner Surrender",E685,B685="Stray",E685+6,B685="Stray w/identification",E685+11,B685="Bite",E685+10,B685="Other",Blank)</f>
        <v>45843</v>
      </c>
      <c r="H685" s="5">
        <f t="shared" si="35"/>
        <v>-45837</v>
      </c>
      <c r="I685" s="5">
        <f t="shared" si="36"/>
        <v>-45843</v>
      </c>
      <c r="J685" s="2" t="s">
        <v>21</v>
      </c>
      <c r="K685" s="2" t="s">
        <v>586</v>
      </c>
      <c r="L685" t="s">
        <v>241</v>
      </c>
      <c r="AD685" s="33" t="str">
        <f t="shared" si="34"/>
        <v>Saturday</v>
      </c>
    </row>
    <row r="686" spans="1:30" x14ac:dyDescent="0.2">
      <c r="A686" s="3">
        <v>41049</v>
      </c>
      <c r="B686" s="2" t="s">
        <v>38</v>
      </c>
      <c r="C686" t="s">
        <v>7</v>
      </c>
      <c r="D686" t="s">
        <v>208</v>
      </c>
      <c r="E686" s="2">
        <v>45838</v>
      </c>
      <c r="F686" s="2" cm="1">
        <f t="array" ref="F686">_xlfn.IFS(B686="Owner Surrender",E686,B686="Stray",E686+6,B686="Stray w/identification",E686+11,B686="Bite",E686+10,B686="Other",Blank)</f>
        <v>45844</v>
      </c>
      <c r="G686" s="2">
        <v>45852</v>
      </c>
      <c r="H686" s="5">
        <f t="shared" si="35"/>
        <v>14</v>
      </c>
      <c r="I686" s="5">
        <f t="shared" si="36"/>
        <v>8</v>
      </c>
      <c r="J686" s="2" t="s">
        <v>31</v>
      </c>
      <c r="K686" s="2" t="s">
        <v>587</v>
      </c>
      <c r="L686" s="2" t="s">
        <v>122</v>
      </c>
      <c r="AD686" s="33" t="str">
        <f t="shared" si="34"/>
        <v>Monday</v>
      </c>
    </row>
    <row r="687" spans="1:30" x14ac:dyDescent="0.2">
      <c r="A687" s="3">
        <v>41057</v>
      </c>
      <c r="B687" s="2" t="s">
        <v>38</v>
      </c>
      <c r="C687" t="s">
        <v>15</v>
      </c>
      <c r="D687" t="s">
        <v>208</v>
      </c>
      <c r="E687" s="2">
        <v>45838</v>
      </c>
      <c r="F687" s="2" cm="1">
        <f t="array" ref="F687">_xlfn.IFS(B687="Owner Surrender",E687,B687="Stray",E687+6,B687="Stray w/identification",E687+11,B687="Bite",E687+10,B687="Other",Blank)</f>
        <v>45844</v>
      </c>
      <c r="G687" s="2">
        <v>45838</v>
      </c>
      <c r="H687" s="5">
        <f t="shared" si="35"/>
        <v>0</v>
      </c>
      <c r="I687" s="5">
        <f t="shared" si="36"/>
        <v>-6</v>
      </c>
      <c r="J687" s="2" t="s">
        <v>31</v>
      </c>
      <c r="K687" s="2" t="s">
        <v>588</v>
      </c>
      <c r="M687" t="s">
        <v>123</v>
      </c>
      <c r="AD687" s="33" t="str">
        <f t="shared" si="34"/>
        <v>Monday</v>
      </c>
    </row>
    <row r="688" spans="1:30" x14ac:dyDescent="0.2">
      <c r="A688" s="3">
        <v>41058</v>
      </c>
      <c r="B688" s="2" t="s">
        <v>38</v>
      </c>
      <c r="C688" t="s">
        <v>7</v>
      </c>
      <c r="D688" t="s">
        <v>207</v>
      </c>
      <c r="E688" s="2">
        <v>45839</v>
      </c>
      <c r="F688" s="2" cm="1">
        <f t="array" ref="F688">_xlfn.IFS(B688="Owner Surrender",E688,B688="Stray",E688+6,B688="Stray w/identification",E688+11,B688="Bite",E688+10,B688="Other",Blank)</f>
        <v>45845</v>
      </c>
      <c r="G688" s="2">
        <v>45847</v>
      </c>
      <c r="H688" s="5">
        <f t="shared" si="35"/>
        <v>8</v>
      </c>
      <c r="I688" s="5">
        <f t="shared" si="36"/>
        <v>2</v>
      </c>
      <c r="J688" t="s">
        <v>31</v>
      </c>
      <c r="K688" s="2" t="s">
        <v>587</v>
      </c>
      <c r="M688" t="s">
        <v>34</v>
      </c>
      <c r="AD688" s="33" t="str">
        <f t="shared" si="34"/>
        <v>Wednesday</v>
      </c>
    </row>
    <row r="689" spans="1:30" x14ac:dyDescent="0.2">
      <c r="A689" s="3">
        <v>41059</v>
      </c>
      <c r="B689" s="2" t="s">
        <v>38</v>
      </c>
      <c r="C689" t="s">
        <v>10</v>
      </c>
      <c r="D689" t="s">
        <v>208</v>
      </c>
      <c r="E689" s="2">
        <v>45839</v>
      </c>
      <c r="F689" s="2" cm="1">
        <f t="array" ref="F689">_xlfn.IFS(B689="Owner Surrender",E689,B689="Stray",E689+6,B689="Stray w/identification",E689+11,B689="Bite",E689+10,B689="Other",Blank)</f>
        <v>45845</v>
      </c>
      <c r="G689" s="2">
        <v>45847</v>
      </c>
      <c r="H689" s="5">
        <f t="shared" si="35"/>
        <v>8</v>
      </c>
      <c r="I689" s="5">
        <f t="shared" si="36"/>
        <v>2</v>
      </c>
      <c r="J689" s="2" t="s">
        <v>31</v>
      </c>
      <c r="K689" s="2" t="s">
        <v>587</v>
      </c>
      <c r="M689" t="s">
        <v>34</v>
      </c>
      <c r="AD689" s="33" t="str">
        <f t="shared" si="34"/>
        <v>Wednesday</v>
      </c>
    </row>
    <row r="690" spans="1:30" x14ac:dyDescent="0.2">
      <c r="A690" s="3">
        <v>41060</v>
      </c>
      <c r="B690" s="2" t="s">
        <v>38</v>
      </c>
      <c r="C690" t="s">
        <v>10</v>
      </c>
      <c r="D690" t="s">
        <v>208</v>
      </c>
      <c r="E690" s="2">
        <v>45839</v>
      </c>
      <c r="F690" s="2" cm="1">
        <f t="array" ref="F690">_xlfn.IFS(B690="Owner Surrender",E690,B690="Stray",E690+6,B690="Stray w/identification",E690+11,B690="Bite",E690+10,B690="Other",Blank)</f>
        <v>45845</v>
      </c>
      <c r="G690" s="2">
        <v>45847</v>
      </c>
      <c r="H690" s="5">
        <f t="shared" si="35"/>
        <v>8</v>
      </c>
      <c r="I690" s="5">
        <f t="shared" si="36"/>
        <v>2</v>
      </c>
      <c r="J690" s="2" t="s">
        <v>31</v>
      </c>
      <c r="K690" s="2" t="s">
        <v>587</v>
      </c>
      <c r="M690" t="s">
        <v>34</v>
      </c>
      <c r="AD690" s="33" t="str">
        <f t="shared" si="34"/>
        <v>Wednesday</v>
      </c>
    </row>
    <row r="691" spans="1:30" x14ac:dyDescent="0.2">
      <c r="A691" s="3">
        <v>41061</v>
      </c>
      <c r="B691" s="2" t="s">
        <v>38</v>
      </c>
      <c r="C691" t="s">
        <v>10</v>
      </c>
      <c r="D691" t="s">
        <v>208</v>
      </c>
      <c r="E691" s="2">
        <v>45839</v>
      </c>
      <c r="F691" s="2" cm="1">
        <f t="array" ref="F691">_xlfn.IFS(B691="Owner Surrender",E691,B691="Stray",E691+6,B691="Stray w/identification",E691+11,B691="Bite",E691+10,B691="Other",Blank)</f>
        <v>45845</v>
      </c>
      <c r="G691" s="2">
        <v>45846</v>
      </c>
      <c r="H691" s="5">
        <f t="shared" si="35"/>
        <v>7</v>
      </c>
      <c r="I691" s="5">
        <f t="shared" si="36"/>
        <v>1</v>
      </c>
      <c r="J691" s="2" t="s">
        <v>31</v>
      </c>
      <c r="K691" s="2" t="s">
        <v>587</v>
      </c>
      <c r="AD691" s="33" t="str">
        <f t="shared" si="34"/>
        <v>Tuesday</v>
      </c>
    </row>
    <row r="692" spans="1:30" x14ac:dyDescent="0.2">
      <c r="A692" s="3">
        <v>41062</v>
      </c>
      <c r="B692" s="2" t="s">
        <v>38</v>
      </c>
      <c r="C692" t="s">
        <v>10</v>
      </c>
      <c r="D692" t="s">
        <v>208</v>
      </c>
      <c r="E692" s="2">
        <v>45839</v>
      </c>
      <c r="F692" s="2" cm="1">
        <f t="array" ref="F692">_xlfn.IFS(B692="Owner Surrender",E692,B692="Stray",E692+6,B692="Stray w/identification",E692+11,B692="Bite",E692+10,B692="Other",Blank)</f>
        <v>45845</v>
      </c>
      <c r="G692" s="2">
        <v>45846</v>
      </c>
      <c r="H692" s="5">
        <f t="shared" si="35"/>
        <v>7</v>
      </c>
      <c r="I692" s="5">
        <f t="shared" si="36"/>
        <v>1</v>
      </c>
      <c r="J692" s="2" t="s">
        <v>31</v>
      </c>
      <c r="K692" s="2" t="s">
        <v>587</v>
      </c>
      <c r="AD692" s="33" t="str">
        <f t="shared" si="34"/>
        <v>Tuesday</v>
      </c>
    </row>
    <row r="693" spans="1:30" x14ac:dyDescent="0.2">
      <c r="A693" s="3">
        <v>41069</v>
      </c>
      <c r="B693" s="2" t="s">
        <v>36</v>
      </c>
      <c r="C693" t="s">
        <v>7</v>
      </c>
      <c r="D693" t="s">
        <v>207</v>
      </c>
      <c r="E693" s="2">
        <v>45839</v>
      </c>
      <c r="F693" s="2" cm="1">
        <f t="array" ref="F693">_xlfn.IFS(B693="Owner Surrender",E693,B693="Stray",E693+6,B693="Stray w/identification",E693+11,B693="Bite",E693+10,B693="Other",Blank)</f>
        <v>45839</v>
      </c>
      <c r="G693" s="2">
        <v>45841</v>
      </c>
      <c r="H693" s="5">
        <f t="shared" si="35"/>
        <v>2</v>
      </c>
      <c r="I693" s="5">
        <f t="shared" si="36"/>
        <v>2</v>
      </c>
      <c r="J693" t="s">
        <v>18</v>
      </c>
      <c r="K693" s="2" t="s">
        <v>586</v>
      </c>
      <c r="L693" t="s">
        <v>182</v>
      </c>
      <c r="M693" t="s">
        <v>19</v>
      </c>
      <c r="AD693" s="33" t="str">
        <f t="shared" si="34"/>
        <v>Thursday</v>
      </c>
    </row>
    <row r="694" spans="1:30" x14ac:dyDescent="0.2">
      <c r="A694" s="3">
        <v>41070</v>
      </c>
      <c r="B694" s="2" t="s">
        <v>36</v>
      </c>
      <c r="C694" t="s">
        <v>7</v>
      </c>
      <c r="D694" t="s">
        <v>208</v>
      </c>
      <c r="E694" s="2">
        <v>45839</v>
      </c>
      <c r="F694" s="2" cm="1">
        <f t="array" ref="F694">_xlfn.IFS(B694="Owner Surrender",E694,B694="Stray",E694+6,B694="Stray w/identification",E694+11,B694="Bite",E694+10,B694="Other",Blank)</f>
        <v>45839</v>
      </c>
      <c r="G694" s="2">
        <v>45841</v>
      </c>
      <c r="H694" s="5">
        <f t="shared" si="35"/>
        <v>2</v>
      </c>
      <c r="I694" s="5">
        <f t="shared" si="36"/>
        <v>2</v>
      </c>
      <c r="J694" t="s">
        <v>18</v>
      </c>
      <c r="K694" s="2" t="s">
        <v>586</v>
      </c>
      <c r="L694" t="s">
        <v>27</v>
      </c>
      <c r="M694" t="s">
        <v>19</v>
      </c>
      <c r="AD694" s="33" t="str">
        <f t="shared" si="34"/>
        <v>Thursday</v>
      </c>
    </row>
    <row r="695" spans="1:30" x14ac:dyDescent="0.2">
      <c r="A695" s="3">
        <v>41071</v>
      </c>
      <c r="B695" s="2" t="s">
        <v>36</v>
      </c>
      <c r="C695" t="s">
        <v>7</v>
      </c>
      <c r="D695" t="s">
        <v>208</v>
      </c>
      <c r="E695" s="2">
        <v>45839</v>
      </c>
      <c r="F695" s="2" cm="1">
        <f t="array" ref="F695">_xlfn.IFS(B695="Owner Surrender",E695,B695="Stray",E695+6,B695="Stray w/identification",E695+11,B695="Bite",E695+10,B695="Other",Blank)</f>
        <v>45839</v>
      </c>
      <c r="G695" s="2">
        <v>45841</v>
      </c>
      <c r="H695" s="5">
        <f t="shared" si="35"/>
        <v>2</v>
      </c>
      <c r="I695" s="5">
        <f t="shared" si="36"/>
        <v>2</v>
      </c>
      <c r="J695" t="s">
        <v>18</v>
      </c>
      <c r="K695" s="2" t="s">
        <v>586</v>
      </c>
      <c r="M695" t="s">
        <v>19</v>
      </c>
      <c r="AD695" s="33" t="str">
        <f t="shared" si="34"/>
        <v>Thursday</v>
      </c>
    </row>
    <row r="696" spans="1:30" x14ac:dyDescent="0.2">
      <c r="A696" s="3">
        <v>41072</v>
      </c>
      <c r="B696" s="2" t="s">
        <v>36</v>
      </c>
      <c r="C696" t="s">
        <v>7</v>
      </c>
      <c r="D696" t="s">
        <v>208</v>
      </c>
      <c r="E696" s="2">
        <v>45839</v>
      </c>
      <c r="F696" s="2" cm="1">
        <f t="array" ref="F696">_xlfn.IFS(B696="Owner Surrender",E696,B696="Stray",E696+6,B696="Stray w/identification",E696+11,B696="Bite",E696+10,B696="Other",Blank)</f>
        <v>45839</v>
      </c>
      <c r="G696" s="2">
        <v>45841</v>
      </c>
      <c r="H696" s="5">
        <f t="shared" si="35"/>
        <v>2</v>
      </c>
      <c r="I696" s="5">
        <f t="shared" si="36"/>
        <v>2</v>
      </c>
      <c r="J696" t="s">
        <v>18</v>
      </c>
      <c r="K696" s="2" t="s">
        <v>586</v>
      </c>
      <c r="M696" t="s">
        <v>19</v>
      </c>
      <c r="AD696" s="33" t="str">
        <f t="shared" si="34"/>
        <v>Thursday</v>
      </c>
    </row>
    <row r="697" spans="1:30" x14ac:dyDescent="0.2">
      <c r="A697" s="3">
        <v>41084</v>
      </c>
      <c r="B697" s="2" t="s">
        <v>36</v>
      </c>
      <c r="C697" t="s">
        <v>7</v>
      </c>
      <c r="D697" t="s">
        <v>207</v>
      </c>
      <c r="E697" s="2">
        <v>45840</v>
      </c>
      <c r="F697" s="2" cm="1">
        <f t="array" ref="F697">_xlfn.IFS(B697="Owner Surrender",E697,B697="Stray",E697+6,B697="Stray w/identification",E697+11,B697="Bite",E697+10,B697="Other",Blank)</f>
        <v>45840</v>
      </c>
      <c r="G697" s="2">
        <v>45852</v>
      </c>
      <c r="H697" s="5">
        <f t="shared" si="35"/>
        <v>12</v>
      </c>
      <c r="I697" s="5">
        <f t="shared" si="36"/>
        <v>12</v>
      </c>
      <c r="J697" t="s">
        <v>31</v>
      </c>
      <c r="K697" s="2" t="s">
        <v>587</v>
      </c>
      <c r="M697" t="s">
        <v>36</v>
      </c>
      <c r="AD697" s="33" t="str">
        <f t="shared" si="34"/>
        <v>Monday</v>
      </c>
    </row>
    <row r="698" spans="1:30" x14ac:dyDescent="0.2">
      <c r="A698" s="3">
        <v>41086</v>
      </c>
      <c r="B698" s="2" t="s">
        <v>38</v>
      </c>
      <c r="C698" t="s">
        <v>7</v>
      </c>
      <c r="D698" t="s">
        <v>208</v>
      </c>
      <c r="E698" s="2">
        <v>45840</v>
      </c>
      <c r="F698" s="2" cm="1">
        <f t="array" ref="F698">_xlfn.IFS(B698="Owner Surrender",E698,B698="Stray",E698+6,B698="Stray w/identification",E698+11,B698="Bite",E698+10,B698="Other",Blank)</f>
        <v>45846</v>
      </c>
      <c r="G698" s="2">
        <v>45852</v>
      </c>
      <c r="H698" s="5">
        <f t="shared" si="35"/>
        <v>12</v>
      </c>
      <c r="I698" s="5">
        <f t="shared" si="36"/>
        <v>6</v>
      </c>
      <c r="J698" s="2" t="s">
        <v>31</v>
      </c>
      <c r="K698" s="2" t="s">
        <v>587</v>
      </c>
      <c r="L698" s="2" t="s">
        <v>124</v>
      </c>
      <c r="AD698" s="33" t="str">
        <f t="shared" si="34"/>
        <v>Monday</v>
      </c>
    </row>
    <row r="699" spans="1:30" x14ac:dyDescent="0.2">
      <c r="A699" s="3">
        <v>41090</v>
      </c>
      <c r="B699" s="2" t="s">
        <v>38</v>
      </c>
      <c r="C699" t="s">
        <v>7</v>
      </c>
      <c r="D699" t="s">
        <v>208</v>
      </c>
      <c r="E699" s="2">
        <v>45839</v>
      </c>
      <c r="F699" s="2" cm="1">
        <f t="array" ref="F699">_xlfn.IFS(B699="Owner Surrender",E699,B699="Stray",E699+6,B699="Stray w/identification",E699+11,B699="Bite",E699+10,B699="Other",Blank)</f>
        <v>45845</v>
      </c>
      <c r="G699" s="2">
        <v>45847</v>
      </c>
      <c r="H699" s="5">
        <f t="shared" si="35"/>
        <v>8</v>
      </c>
      <c r="I699" s="5">
        <f t="shared" si="36"/>
        <v>2</v>
      </c>
      <c r="J699" s="2" t="s">
        <v>31</v>
      </c>
      <c r="K699" s="2" t="s">
        <v>587</v>
      </c>
      <c r="AD699" s="33" t="str">
        <f t="shared" si="34"/>
        <v>Wednesday</v>
      </c>
    </row>
    <row r="700" spans="1:30" x14ac:dyDescent="0.2">
      <c r="A700" s="3">
        <v>41091</v>
      </c>
      <c r="B700" s="2" t="s">
        <v>38</v>
      </c>
      <c r="C700" t="s">
        <v>7</v>
      </c>
      <c r="D700" t="s">
        <v>208</v>
      </c>
      <c r="E700" s="2">
        <v>45839</v>
      </c>
      <c r="F700" s="2" cm="1">
        <f t="array" ref="F700">_xlfn.IFS(B700="Owner Surrender",E700,B700="Stray",E700+6,B700="Stray w/identification",E700+11,B700="Bite",E700+10,B700="Other",Blank)</f>
        <v>45845</v>
      </c>
      <c r="G700" s="2">
        <v>45847</v>
      </c>
      <c r="H700" s="5">
        <f t="shared" si="35"/>
        <v>8</v>
      </c>
      <c r="I700" s="5">
        <f t="shared" si="36"/>
        <v>2</v>
      </c>
      <c r="J700" s="2" t="s">
        <v>31</v>
      </c>
      <c r="K700" s="2" t="s">
        <v>587</v>
      </c>
      <c r="AD700" s="33" t="str">
        <f t="shared" si="34"/>
        <v>Wednesday</v>
      </c>
    </row>
    <row r="701" spans="1:30" x14ac:dyDescent="0.2">
      <c r="A701" s="3">
        <v>41092</v>
      </c>
      <c r="B701" s="2" t="s">
        <v>38</v>
      </c>
      <c r="C701" t="s">
        <v>7</v>
      </c>
      <c r="D701" t="s">
        <v>207</v>
      </c>
      <c r="E701" s="2">
        <v>45839</v>
      </c>
      <c r="F701" s="2" cm="1">
        <f t="array" ref="F701">_xlfn.IFS(B701="Owner Surrender",E701,B701="Stray",E701+6,B701="Stray w/identification",E701+11,B701="Bite",E701+10,B701="Other",Blank)</f>
        <v>45845</v>
      </c>
      <c r="G701" s="2">
        <v>45847</v>
      </c>
      <c r="H701" s="5">
        <f t="shared" si="35"/>
        <v>8</v>
      </c>
      <c r="I701" s="5">
        <f t="shared" si="36"/>
        <v>2</v>
      </c>
      <c r="J701" t="s">
        <v>31</v>
      </c>
      <c r="K701" s="2" t="s">
        <v>587</v>
      </c>
      <c r="M701" t="s">
        <v>38</v>
      </c>
      <c r="AD701" s="33" t="str">
        <f t="shared" si="34"/>
        <v>Wednesday</v>
      </c>
    </row>
    <row r="702" spans="1:30" x14ac:dyDescent="0.2">
      <c r="A702" s="3">
        <v>41094</v>
      </c>
      <c r="B702" s="2" t="s">
        <v>38</v>
      </c>
      <c r="C702" t="s">
        <v>7</v>
      </c>
      <c r="D702" t="s">
        <v>208</v>
      </c>
      <c r="E702" s="2">
        <v>45840</v>
      </c>
      <c r="F702" s="2" cm="1">
        <f t="array" ref="F702">_xlfn.IFS(B702="Owner Surrender",E702,B702="Stray",E702+6,B702="Stray w/identification",E702+11,B702="Bite",E702+10,B702="Other",Blank)</f>
        <v>45846</v>
      </c>
      <c r="G702" s="2">
        <v>45847</v>
      </c>
      <c r="H702" s="5">
        <f t="shared" si="35"/>
        <v>7</v>
      </c>
      <c r="I702" s="5">
        <f t="shared" si="36"/>
        <v>1</v>
      </c>
      <c r="J702" s="2" t="s">
        <v>31</v>
      </c>
      <c r="K702" s="2" t="s">
        <v>587</v>
      </c>
      <c r="M702" t="s">
        <v>34</v>
      </c>
      <c r="AD702" s="33" t="str">
        <f t="shared" si="34"/>
        <v>Wednesday</v>
      </c>
    </row>
    <row r="703" spans="1:30" x14ac:dyDescent="0.2">
      <c r="A703" s="3">
        <v>41095</v>
      </c>
      <c r="B703" s="2" t="s">
        <v>38</v>
      </c>
      <c r="C703" t="s">
        <v>7</v>
      </c>
      <c r="D703" t="s">
        <v>208</v>
      </c>
      <c r="E703" s="2">
        <v>45840</v>
      </c>
      <c r="F703" s="2" cm="1">
        <f t="array" ref="F703">_xlfn.IFS(B703="Owner Surrender",E703,B703="Stray",E703+6,B703="Stray w/identification",E703+11,B703="Bite",E703+10,B703="Other",Blank)</f>
        <v>45846</v>
      </c>
      <c r="G703" s="2">
        <v>45847</v>
      </c>
      <c r="H703" s="5">
        <f t="shared" si="35"/>
        <v>7</v>
      </c>
      <c r="I703" s="5">
        <f t="shared" si="36"/>
        <v>1</v>
      </c>
      <c r="J703" s="2" t="s">
        <v>31</v>
      </c>
      <c r="K703" s="2" t="s">
        <v>587</v>
      </c>
      <c r="M703" t="s">
        <v>34</v>
      </c>
      <c r="AD703" s="33" t="str">
        <f t="shared" si="34"/>
        <v>Wednesday</v>
      </c>
    </row>
    <row r="704" spans="1:30" x14ac:dyDescent="0.2">
      <c r="A704" s="3">
        <v>41096</v>
      </c>
      <c r="B704" s="2" t="s">
        <v>38</v>
      </c>
      <c r="C704" t="s">
        <v>7</v>
      </c>
      <c r="D704" t="s">
        <v>208</v>
      </c>
      <c r="E704" s="2">
        <v>45840</v>
      </c>
      <c r="F704" s="2" cm="1">
        <f t="array" ref="F704">_xlfn.IFS(B704="Owner Surrender",E704,B704="Stray",E704+6,B704="Stray w/identification",E704+11,B704="Bite",E704+10,B704="Other",Blank)</f>
        <v>45846</v>
      </c>
      <c r="G704" s="2">
        <v>45847</v>
      </c>
      <c r="H704" s="5">
        <f t="shared" si="35"/>
        <v>7</v>
      </c>
      <c r="I704" s="5">
        <f t="shared" si="36"/>
        <v>1</v>
      </c>
      <c r="J704" s="2" t="s">
        <v>31</v>
      </c>
      <c r="K704" s="2" t="s">
        <v>587</v>
      </c>
      <c r="M704" t="s">
        <v>34</v>
      </c>
      <c r="AD704" s="33" t="str">
        <f t="shared" si="34"/>
        <v>Wednesday</v>
      </c>
    </row>
    <row r="705" spans="1:30" x14ac:dyDescent="0.2">
      <c r="A705" s="3">
        <v>41097</v>
      </c>
      <c r="B705" s="2" t="s">
        <v>38</v>
      </c>
      <c r="C705" t="s">
        <v>7</v>
      </c>
      <c r="D705" t="s">
        <v>208</v>
      </c>
      <c r="E705" s="2">
        <v>45840</v>
      </c>
      <c r="F705" s="2" cm="1">
        <f t="array" ref="F705">_xlfn.IFS(B705="Owner Surrender",E705,B705="Stray",E705+6,B705="Stray w/identification",E705+11,B705="Bite",E705+10,B705="Other",Blank)</f>
        <v>45846</v>
      </c>
      <c r="G705" s="2">
        <v>45847</v>
      </c>
      <c r="H705" s="5">
        <f t="shared" si="35"/>
        <v>7</v>
      </c>
      <c r="I705" s="5">
        <f t="shared" si="36"/>
        <v>1</v>
      </c>
      <c r="J705" s="2" t="s">
        <v>31</v>
      </c>
      <c r="K705" s="2" t="s">
        <v>587</v>
      </c>
      <c r="M705" t="s">
        <v>34</v>
      </c>
      <c r="AD705" s="33" t="str">
        <f t="shared" si="34"/>
        <v>Wednesday</v>
      </c>
    </row>
    <row r="706" spans="1:30" x14ac:dyDescent="0.2">
      <c r="A706" s="3">
        <v>41098</v>
      </c>
      <c r="B706" s="2" t="s">
        <v>38</v>
      </c>
      <c r="C706" t="s">
        <v>7</v>
      </c>
      <c r="D706" t="s">
        <v>208</v>
      </c>
      <c r="E706" s="2">
        <v>45840</v>
      </c>
      <c r="F706" s="2" cm="1">
        <f t="array" ref="F706">_xlfn.IFS(B706="Owner Surrender",E706,B706="Stray",E706+6,B706="Stray w/identification",E706+11,B706="Bite",E706+10,B706="Other",Blank)</f>
        <v>45846</v>
      </c>
      <c r="G706" s="2">
        <v>45847</v>
      </c>
      <c r="H706" s="5">
        <f t="shared" si="35"/>
        <v>7</v>
      </c>
      <c r="I706" s="5">
        <f t="shared" si="36"/>
        <v>1</v>
      </c>
      <c r="J706" s="2" t="s">
        <v>31</v>
      </c>
      <c r="K706" s="2" t="s">
        <v>587</v>
      </c>
      <c r="M706" t="s">
        <v>34</v>
      </c>
      <c r="AD706" s="33" t="str">
        <f t="shared" si="34"/>
        <v>Wednesday</v>
      </c>
    </row>
    <row r="707" spans="1:30" x14ac:dyDescent="0.2">
      <c r="A707" s="3">
        <v>41099</v>
      </c>
      <c r="B707" s="2" t="s">
        <v>38</v>
      </c>
      <c r="C707" t="s">
        <v>7</v>
      </c>
      <c r="D707" t="s">
        <v>208</v>
      </c>
      <c r="E707" s="2">
        <v>45841</v>
      </c>
      <c r="F707" s="2" cm="1">
        <f t="array" ref="F707">_xlfn.IFS(B707="Owner Surrender",E707,B707="Stray",E707+6,B707="Stray w/identification",E707+11,B707="Bite",E707+10,B707="Other",Blank)</f>
        <v>45847</v>
      </c>
      <c r="G707" s="2">
        <v>45841</v>
      </c>
      <c r="H707" s="5">
        <f t="shared" si="35"/>
        <v>0</v>
      </c>
      <c r="I707" s="5">
        <f t="shared" si="36"/>
        <v>-6</v>
      </c>
      <c r="J707" t="s">
        <v>18</v>
      </c>
      <c r="K707" s="2" t="s">
        <v>586</v>
      </c>
      <c r="M707" t="s">
        <v>19</v>
      </c>
      <c r="AD707" s="33" t="str">
        <f t="shared" si="34"/>
        <v>Thursday</v>
      </c>
    </row>
    <row r="708" spans="1:30" x14ac:dyDescent="0.2">
      <c r="A708" s="3">
        <v>41100</v>
      </c>
      <c r="B708" s="2" t="s">
        <v>38</v>
      </c>
      <c r="C708" t="s">
        <v>7</v>
      </c>
      <c r="D708" t="s">
        <v>208</v>
      </c>
      <c r="E708" s="2">
        <v>45841</v>
      </c>
      <c r="F708" s="2" cm="1">
        <f t="array" ref="F708">_xlfn.IFS(B708="Owner Surrender",E708,B708="Stray",E708+6,B708="Stray w/identification",E708+11,B708="Bite",E708+10,B708="Other",Blank)</f>
        <v>45847</v>
      </c>
      <c r="G708" s="2">
        <v>45841</v>
      </c>
      <c r="H708" s="5">
        <f t="shared" si="35"/>
        <v>0</v>
      </c>
      <c r="I708" s="5">
        <f t="shared" si="36"/>
        <v>-6</v>
      </c>
      <c r="J708" t="s">
        <v>18</v>
      </c>
      <c r="K708" s="2" t="s">
        <v>586</v>
      </c>
      <c r="M708" t="s">
        <v>19</v>
      </c>
      <c r="AD708" s="33" t="str">
        <f t="shared" ref="AD708:AD771" si="37">TEXT(G708,"DDDD")</f>
        <v>Thursday</v>
      </c>
    </row>
    <row r="709" spans="1:30" x14ac:dyDescent="0.2">
      <c r="A709" s="3">
        <v>41101</v>
      </c>
      <c r="B709" s="2" t="s">
        <v>38</v>
      </c>
      <c r="C709" t="s">
        <v>7</v>
      </c>
      <c r="D709" t="s">
        <v>208</v>
      </c>
      <c r="E709" s="2">
        <v>45841</v>
      </c>
      <c r="F709" s="2" cm="1">
        <f t="array" ref="F709">_xlfn.IFS(B709="Owner Surrender",E709,B709="Stray",E709+6,B709="Stray w/identification",E709+11,B709="Bite",E709+10,B709="Other",Blank)</f>
        <v>45847</v>
      </c>
      <c r="G709" s="2">
        <v>45841</v>
      </c>
      <c r="H709" s="5">
        <f t="shared" si="35"/>
        <v>0</v>
      </c>
      <c r="I709" s="5">
        <f t="shared" si="36"/>
        <v>-6</v>
      </c>
      <c r="J709" t="s">
        <v>18</v>
      </c>
      <c r="K709" s="2" t="s">
        <v>586</v>
      </c>
      <c r="M709" t="s">
        <v>19</v>
      </c>
      <c r="AD709" s="33" t="str">
        <f t="shared" si="37"/>
        <v>Thursday</v>
      </c>
    </row>
    <row r="710" spans="1:30" x14ac:dyDescent="0.2">
      <c r="A710" s="3">
        <v>41102</v>
      </c>
      <c r="B710" s="2" t="s">
        <v>38</v>
      </c>
      <c r="C710" t="s">
        <v>7</v>
      </c>
      <c r="D710" t="s">
        <v>208</v>
      </c>
      <c r="E710" s="2">
        <v>45841</v>
      </c>
      <c r="F710" s="2" cm="1">
        <f t="array" ref="F710">_xlfn.IFS(B710="Owner Surrender",E710,B710="Stray",E710+6,B710="Stray w/identification",E710+11,B710="Bite",E710+10,B710="Other",Blank)</f>
        <v>45847</v>
      </c>
      <c r="G710" s="2">
        <v>45841</v>
      </c>
      <c r="H710" s="5">
        <f t="shared" si="35"/>
        <v>0</v>
      </c>
      <c r="I710" s="5">
        <f t="shared" si="36"/>
        <v>-6</v>
      </c>
      <c r="J710" t="s">
        <v>18</v>
      </c>
      <c r="K710" s="2" t="s">
        <v>586</v>
      </c>
      <c r="M710" t="s">
        <v>19</v>
      </c>
      <c r="AD710" s="33" t="str">
        <f t="shared" si="37"/>
        <v>Thursday</v>
      </c>
    </row>
    <row r="711" spans="1:30" x14ac:dyDescent="0.2">
      <c r="A711" s="3">
        <v>41103</v>
      </c>
      <c r="B711" s="2" t="s">
        <v>38</v>
      </c>
      <c r="C711" t="s">
        <v>7</v>
      </c>
      <c r="D711" t="s">
        <v>208</v>
      </c>
      <c r="E711" s="2">
        <v>45841</v>
      </c>
      <c r="F711" s="2" cm="1">
        <f t="array" ref="F711">_xlfn.IFS(B711="Owner Surrender",E711,B711="Stray",E711+6,B711="Stray w/identification",E711+11,B711="Bite",E711+10,B711="Other",Blank)</f>
        <v>45847</v>
      </c>
      <c r="G711" s="2">
        <v>45841</v>
      </c>
      <c r="H711" s="5">
        <f t="shared" si="35"/>
        <v>0</v>
      </c>
      <c r="I711" s="5">
        <f t="shared" si="36"/>
        <v>-6</v>
      </c>
      <c r="J711" t="s">
        <v>18</v>
      </c>
      <c r="K711" s="2" t="s">
        <v>586</v>
      </c>
      <c r="M711" t="s">
        <v>19</v>
      </c>
      <c r="AD711" s="33" t="str">
        <f t="shared" si="37"/>
        <v>Thursday</v>
      </c>
    </row>
    <row r="712" spans="1:30" x14ac:dyDescent="0.2">
      <c r="A712" s="3">
        <v>41104</v>
      </c>
      <c r="B712" s="2" t="s">
        <v>38</v>
      </c>
      <c r="C712" t="s">
        <v>7</v>
      </c>
      <c r="D712" t="s">
        <v>208</v>
      </c>
      <c r="E712" s="2">
        <v>45841</v>
      </c>
      <c r="F712" s="2" cm="1">
        <f t="array" ref="F712">_xlfn.IFS(B712="Owner Surrender",E712,B712="Stray",E712+6,B712="Stray w/identification",E712+11,B712="Bite",E712+10,B712="Other",Blank)</f>
        <v>45847</v>
      </c>
      <c r="G712" s="2">
        <v>45841</v>
      </c>
      <c r="H712" s="5">
        <f t="shared" si="35"/>
        <v>0</v>
      </c>
      <c r="I712" s="5">
        <f t="shared" si="36"/>
        <v>-6</v>
      </c>
      <c r="J712" t="s">
        <v>18</v>
      </c>
      <c r="K712" s="2" t="s">
        <v>586</v>
      </c>
      <c r="M712" t="s">
        <v>19</v>
      </c>
      <c r="AD712" s="33" t="str">
        <f t="shared" si="37"/>
        <v>Thursday</v>
      </c>
    </row>
    <row r="713" spans="1:30" x14ac:dyDescent="0.2">
      <c r="A713" s="3">
        <v>41105</v>
      </c>
      <c r="B713" s="2" t="s">
        <v>38</v>
      </c>
      <c r="C713" t="s">
        <v>7</v>
      </c>
      <c r="D713" t="s">
        <v>208</v>
      </c>
      <c r="E713" s="2">
        <v>45841</v>
      </c>
      <c r="F713" s="2" cm="1">
        <f t="array" ref="F713">_xlfn.IFS(B713="Owner Surrender",E713,B713="Stray",E713+6,B713="Stray w/identification",E713+11,B713="Bite",E713+10,B713="Other",Blank)</f>
        <v>45847</v>
      </c>
      <c r="G713" s="2">
        <v>45841</v>
      </c>
      <c r="H713" s="5">
        <f t="shared" si="35"/>
        <v>0</v>
      </c>
      <c r="I713" s="5">
        <f t="shared" si="36"/>
        <v>-6</v>
      </c>
      <c r="J713" t="s">
        <v>18</v>
      </c>
      <c r="K713" s="2" t="s">
        <v>586</v>
      </c>
      <c r="M713" t="s">
        <v>19</v>
      </c>
      <c r="AD713" s="33" t="str">
        <f t="shared" si="37"/>
        <v>Thursday</v>
      </c>
    </row>
    <row r="714" spans="1:30" x14ac:dyDescent="0.2">
      <c r="A714" s="3">
        <v>41106</v>
      </c>
      <c r="B714" s="2" t="s">
        <v>38</v>
      </c>
      <c r="C714" t="s">
        <v>7</v>
      </c>
      <c r="D714" t="s">
        <v>208</v>
      </c>
      <c r="E714" s="2">
        <v>45841</v>
      </c>
      <c r="F714" s="2" cm="1">
        <f t="array" ref="F714">_xlfn.IFS(B714="Owner Surrender",E714,B714="Stray",E714+6,B714="Stray w/identification",E714+11,B714="Bite",E714+10,B714="Other",Blank)</f>
        <v>45847</v>
      </c>
      <c r="G714" s="2">
        <v>45841</v>
      </c>
      <c r="H714" s="5">
        <f t="shared" si="35"/>
        <v>0</v>
      </c>
      <c r="I714" s="5">
        <f t="shared" si="36"/>
        <v>-6</v>
      </c>
      <c r="J714" t="s">
        <v>18</v>
      </c>
      <c r="K714" s="2" t="s">
        <v>586</v>
      </c>
      <c r="M714" t="s">
        <v>19</v>
      </c>
      <c r="AD714" s="33" t="str">
        <f t="shared" si="37"/>
        <v>Thursday</v>
      </c>
    </row>
    <row r="715" spans="1:30" x14ac:dyDescent="0.2">
      <c r="A715" s="3">
        <v>41107</v>
      </c>
      <c r="B715" s="2" t="s">
        <v>38</v>
      </c>
      <c r="C715" t="s">
        <v>7</v>
      </c>
      <c r="D715" t="s">
        <v>208</v>
      </c>
      <c r="E715" s="2">
        <v>45841</v>
      </c>
      <c r="F715" s="2" cm="1">
        <f t="array" ref="F715">_xlfn.IFS(B715="Owner Surrender",E715,B715="Stray",E715+6,B715="Stray w/identification",E715+11,B715="Bite",E715+10,B715="Other",Blank)</f>
        <v>45847</v>
      </c>
      <c r="G715" s="2">
        <v>45841</v>
      </c>
      <c r="H715" s="5">
        <f t="shared" si="35"/>
        <v>0</v>
      </c>
      <c r="I715" s="5">
        <f t="shared" si="36"/>
        <v>-6</v>
      </c>
      <c r="J715" t="s">
        <v>18</v>
      </c>
      <c r="K715" s="2" t="s">
        <v>586</v>
      </c>
      <c r="M715" t="s">
        <v>19</v>
      </c>
      <c r="AD715" s="33" t="str">
        <f t="shared" si="37"/>
        <v>Thursday</v>
      </c>
    </row>
    <row r="716" spans="1:30" x14ac:dyDescent="0.2">
      <c r="A716" s="3">
        <v>41108</v>
      </c>
      <c r="B716" s="2" t="s">
        <v>38</v>
      </c>
      <c r="C716" t="s">
        <v>7</v>
      </c>
      <c r="D716" t="s">
        <v>208</v>
      </c>
      <c r="E716" s="2">
        <v>45840</v>
      </c>
      <c r="F716" s="2" cm="1">
        <f t="array" ref="F716">_xlfn.IFS(B716="Owner Surrender",E716,B716="Stray",E716+6,B716="Stray w/identification",E716+11,B716="Bite",E716+10,B716="Other",Blank)</f>
        <v>45846</v>
      </c>
      <c r="G716" s="2">
        <v>45841</v>
      </c>
      <c r="H716" s="5">
        <f t="shared" si="35"/>
        <v>1</v>
      </c>
      <c r="I716" s="5">
        <f t="shared" si="36"/>
        <v>-5</v>
      </c>
      <c r="J716" t="s">
        <v>28</v>
      </c>
      <c r="K716" s="2" t="s">
        <v>586</v>
      </c>
      <c r="M716" t="s">
        <v>29</v>
      </c>
      <c r="AD716" s="33" t="str">
        <f t="shared" si="37"/>
        <v>Thursday</v>
      </c>
    </row>
    <row r="717" spans="1:30" x14ac:dyDescent="0.2">
      <c r="A717" s="3">
        <v>41109</v>
      </c>
      <c r="B717" s="2" t="s">
        <v>38</v>
      </c>
      <c r="C717" t="s">
        <v>7</v>
      </c>
      <c r="D717" t="s">
        <v>208</v>
      </c>
      <c r="E717" s="2">
        <v>45840</v>
      </c>
      <c r="F717" s="2" cm="1">
        <f t="array" ref="F717">_xlfn.IFS(B717="Owner Surrender",E717,B717="Stray",E717+6,B717="Stray w/identification",E717+11,B717="Bite",E717+10,B717="Other",Blank)</f>
        <v>45846</v>
      </c>
      <c r="G717" s="2">
        <v>45841</v>
      </c>
      <c r="H717" s="5">
        <f t="shared" si="35"/>
        <v>1</v>
      </c>
      <c r="I717" s="5">
        <f t="shared" si="36"/>
        <v>-5</v>
      </c>
      <c r="J717" t="s">
        <v>28</v>
      </c>
      <c r="K717" s="2" t="s">
        <v>586</v>
      </c>
      <c r="M717" t="s">
        <v>29</v>
      </c>
      <c r="AD717" s="33" t="str">
        <f t="shared" si="37"/>
        <v>Thursday</v>
      </c>
    </row>
    <row r="718" spans="1:30" x14ac:dyDescent="0.2">
      <c r="A718" s="3">
        <v>41115</v>
      </c>
      <c r="B718" s="2" t="s">
        <v>38</v>
      </c>
      <c r="C718" t="s">
        <v>7</v>
      </c>
      <c r="D718" t="s">
        <v>208</v>
      </c>
      <c r="E718" s="2">
        <v>45842</v>
      </c>
      <c r="F718" s="2" cm="1">
        <f t="array" ref="F718">_xlfn.IFS(B718="Owner Surrender",E718,B718="Stray",E718+6,B718="Stray w/identification",E718+11,B718="Bite",E718+10,B718="Other",Blank)</f>
        <v>45848</v>
      </c>
      <c r="G718" s="2">
        <v>45852</v>
      </c>
      <c r="H718" s="5">
        <f t="shared" si="35"/>
        <v>10</v>
      </c>
      <c r="I718" s="5">
        <f t="shared" si="36"/>
        <v>4</v>
      </c>
      <c r="J718" t="s">
        <v>31</v>
      </c>
      <c r="K718" s="2" t="s">
        <v>587</v>
      </c>
      <c r="AD718" s="33" t="str">
        <f t="shared" si="37"/>
        <v>Monday</v>
      </c>
    </row>
    <row r="719" spans="1:30" x14ac:dyDescent="0.2">
      <c r="A719" s="3">
        <v>41116</v>
      </c>
      <c r="B719" s="2" t="s">
        <v>38</v>
      </c>
      <c r="C719" t="s">
        <v>7</v>
      </c>
      <c r="D719" t="s">
        <v>207</v>
      </c>
      <c r="E719" s="2">
        <v>45842</v>
      </c>
      <c r="F719" s="2" cm="1">
        <f t="array" ref="F719">_xlfn.IFS(B719="Owner Surrender",E719,B719="Stray",E719+6,B719="Stray w/identification",E719+11,B719="Bite",E719+10,B719="Other",Blank)</f>
        <v>45848</v>
      </c>
      <c r="G719" s="2">
        <v>45852</v>
      </c>
      <c r="H719" s="5">
        <f t="shared" si="35"/>
        <v>10</v>
      </c>
      <c r="I719" s="5">
        <f t="shared" si="36"/>
        <v>4</v>
      </c>
      <c r="J719" t="s">
        <v>31</v>
      </c>
      <c r="K719" s="2" t="s">
        <v>587</v>
      </c>
      <c r="AD719" s="33" t="str">
        <f t="shared" si="37"/>
        <v>Monday</v>
      </c>
    </row>
    <row r="720" spans="1:30" x14ac:dyDescent="0.2">
      <c r="A720" s="3">
        <v>41119</v>
      </c>
      <c r="B720" s="2" t="s">
        <v>38</v>
      </c>
      <c r="C720" t="s">
        <v>15</v>
      </c>
      <c r="D720" t="s">
        <v>207</v>
      </c>
      <c r="E720" s="2">
        <v>45843</v>
      </c>
      <c r="F720" s="2" cm="1">
        <f t="array" ref="F720">_xlfn.IFS(B720="Owner Surrender",E720,B720="Stray",E720+6,B720="Stray w/identification",E720+11,B720="Bite",E720+10,B720="Other",Blank)</f>
        <v>45849</v>
      </c>
      <c r="G720" s="2">
        <v>45845</v>
      </c>
      <c r="H720" s="5">
        <f t="shared" si="35"/>
        <v>2</v>
      </c>
      <c r="I720" s="5">
        <f t="shared" si="36"/>
        <v>-4</v>
      </c>
      <c r="J720" s="2" t="s">
        <v>31</v>
      </c>
      <c r="K720" s="2" t="s">
        <v>588</v>
      </c>
      <c r="M720" t="s">
        <v>126</v>
      </c>
      <c r="AD720" s="33" t="str">
        <f t="shared" si="37"/>
        <v>Monday</v>
      </c>
    </row>
    <row r="721" spans="1:30" x14ac:dyDescent="0.2">
      <c r="A721" s="3">
        <v>41120</v>
      </c>
      <c r="B721" s="2" t="s">
        <v>38</v>
      </c>
      <c r="C721" t="s">
        <v>15</v>
      </c>
      <c r="D721" t="s">
        <v>208</v>
      </c>
      <c r="E721" s="2">
        <v>45843</v>
      </c>
      <c r="F721" s="2" cm="1">
        <f t="array" ref="F721">_xlfn.IFS(B721="Owner Surrender",E721,B721="Stray",E721+6,B721="Stray w/identification",E721+11,B721="Bite",E721+10,B721="Other",Blank)</f>
        <v>45849</v>
      </c>
      <c r="G721" s="2">
        <v>45845</v>
      </c>
      <c r="H721" s="5">
        <f t="shared" si="35"/>
        <v>2</v>
      </c>
      <c r="I721" s="5">
        <f t="shared" si="36"/>
        <v>-4</v>
      </c>
      <c r="J721" s="2" t="s">
        <v>31</v>
      </c>
      <c r="K721" s="2" t="s">
        <v>588</v>
      </c>
      <c r="M721" t="s">
        <v>127</v>
      </c>
      <c r="AD721" s="33" t="str">
        <f t="shared" si="37"/>
        <v>Monday</v>
      </c>
    </row>
    <row r="722" spans="1:30" x14ac:dyDescent="0.2">
      <c r="A722" s="3">
        <v>41121</v>
      </c>
      <c r="B722" s="2" t="s">
        <v>38</v>
      </c>
      <c r="C722" t="s">
        <v>15</v>
      </c>
      <c r="D722" t="s">
        <v>208</v>
      </c>
      <c r="E722" s="2">
        <v>45843</v>
      </c>
      <c r="F722" s="2" cm="1">
        <f t="array" ref="F722">_xlfn.IFS(B722="Owner Surrender",E722,B722="Stray",E722+6,B722="Stray w/identification",E722+11,B722="Bite",E722+10,B722="Other",Blank)</f>
        <v>45849</v>
      </c>
      <c r="G722" s="2">
        <v>45845</v>
      </c>
      <c r="H722" s="5">
        <f t="shared" si="35"/>
        <v>2</v>
      </c>
      <c r="I722" s="5">
        <f t="shared" si="36"/>
        <v>-4</v>
      </c>
      <c r="J722" s="2" t="s">
        <v>31</v>
      </c>
      <c r="K722" s="2" t="s">
        <v>588</v>
      </c>
      <c r="M722" t="s">
        <v>127</v>
      </c>
      <c r="AD722" s="33" t="str">
        <f t="shared" si="37"/>
        <v>Monday</v>
      </c>
    </row>
    <row r="723" spans="1:30" x14ac:dyDescent="0.2">
      <c r="A723" s="3">
        <v>41122</v>
      </c>
      <c r="B723" s="2" t="s">
        <v>38</v>
      </c>
      <c r="C723" t="s">
        <v>15</v>
      </c>
      <c r="D723" t="s">
        <v>208</v>
      </c>
      <c r="E723" s="2">
        <v>45843</v>
      </c>
      <c r="F723" s="2" cm="1">
        <f t="array" ref="F723">_xlfn.IFS(B723="Owner Surrender",E723,B723="Stray",E723+6,B723="Stray w/identification",E723+11,B723="Bite",E723+10,B723="Other",Blank)</f>
        <v>45849</v>
      </c>
      <c r="G723" s="2">
        <v>45845</v>
      </c>
      <c r="H723" s="5">
        <f t="shared" si="35"/>
        <v>2</v>
      </c>
      <c r="I723" s="5">
        <f t="shared" si="36"/>
        <v>-4</v>
      </c>
      <c r="J723" s="2" t="s">
        <v>31</v>
      </c>
      <c r="K723" s="2" t="s">
        <v>588</v>
      </c>
      <c r="M723" t="s">
        <v>128</v>
      </c>
      <c r="AD723" s="33" t="str">
        <f t="shared" si="37"/>
        <v>Monday</v>
      </c>
    </row>
    <row r="724" spans="1:30" x14ac:dyDescent="0.2">
      <c r="A724" s="3">
        <v>41127</v>
      </c>
      <c r="B724" s="2" t="s">
        <v>38</v>
      </c>
      <c r="C724" t="s">
        <v>7</v>
      </c>
      <c r="D724" t="s">
        <v>208</v>
      </c>
      <c r="E724" s="2">
        <v>45843</v>
      </c>
      <c r="F724" s="2" cm="1">
        <f t="array" ref="F724">_xlfn.IFS(B724="Owner Surrender",E724,B724="Stray",E724+6,B724="Stray w/identification",E724+11,B724="Bite",E724+10,B724="Other",Blank)</f>
        <v>45849</v>
      </c>
      <c r="G724" s="2">
        <v>45852</v>
      </c>
      <c r="H724" s="5">
        <f t="shared" si="35"/>
        <v>9</v>
      </c>
      <c r="I724" s="5">
        <f t="shared" si="36"/>
        <v>3</v>
      </c>
      <c r="J724" s="2" t="s">
        <v>31</v>
      </c>
      <c r="K724" s="2" t="s">
        <v>587</v>
      </c>
      <c r="L724" s="2" t="s">
        <v>130</v>
      </c>
      <c r="AD724" s="33" t="str">
        <f t="shared" si="37"/>
        <v>Monday</v>
      </c>
    </row>
    <row r="725" spans="1:30" x14ac:dyDescent="0.2">
      <c r="A725" s="3">
        <v>41129</v>
      </c>
      <c r="B725" s="2" t="s">
        <v>38</v>
      </c>
      <c r="C725" t="s">
        <v>7</v>
      </c>
      <c r="D725" t="s">
        <v>207</v>
      </c>
      <c r="E725" s="2">
        <v>45844</v>
      </c>
      <c r="F725" s="2" cm="1">
        <f t="array" ref="F725">_xlfn.IFS(B725="Owner Surrender",E725,B725="Stray",E725+6,B725="Stray w/identification",E725+11,B725="Bite",E725+10,B725="Other",Blank)</f>
        <v>45850</v>
      </c>
      <c r="G725" s="2">
        <v>45852</v>
      </c>
      <c r="H725" s="5">
        <f t="shared" si="35"/>
        <v>8</v>
      </c>
      <c r="I725" s="5">
        <f t="shared" si="36"/>
        <v>2</v>
      </c>
      <c r="J725" t="s">
        <v>31</v>
      </c>
      <c r="K725" s="2" t="s">
        <v>587</v>
      </c>
      <c r="AD725" s="33" t="str">
        <f t="shared" si="37"/>
        <v>Monday</v>
      </c>
    </row>
    <row r="726" spans="1:30" x14ac:dyDescent="0.2">
      <c r="A726" s="3">
        <v>41132</v>
      </c>
      <c r="B726" s="2" t="s">
        <v>38</v>
      </c>
      <c r="C726" t="s">
        <v>7</v>
      </c>
      <c r="D726" t="s">
        <v>208</v>
      </c>
      <c r="E726" s="2">
        <v>45845</v>
      </c>
      <c r="F726" s="2" cm="1">
        <f t="array" ref="F726">_xlfn.IFS(B726="Owner Surrender",E726,B726="Stray",E726+6,B726="Stray w/identification",E726+11,B726="Bite",E726+10,B726="Other",Blank)</f>
        <v>45851</v>
      </c>
      <c r="G726" s="2">
        <v>45845</v>
      </c>
      <c r="H726" s="5">
        <f t="shared" si="35"/>
        <v>0</v>
      </c>
      <c r="I726" s="5">
        <f t="shared" si="36"/>
        <v>-6</v>
      </c>
      <c r="J726" s="2" t="s">
        <v>31</v>
      </c>
      <c r="K726" s="2" t="s">
        <v>143</v>
      </c>
      <c r="M726" t="s">
        <v>131</v>
      </c>
      <c r="AD726" s="33" t="str">
        <f t="shared" si="37"/>
        <v>Monday</v>
      </c>
    </row>
    <row r="727" spans="1:30" x14ac:dyDescent="0.2">
      <c r="A727" s="3">
        <v>41133</v>
      </c>
      <c r="B727" s="2" t="s">
        <v>38</v>
      </c>
      <c r="C727" t="s">
        <v>7</v>
      </c>
      <c r="D727" t="s">
        <v>208</v>
      </c>
      <c r="E727" s="2">
        <v>45845</v>
      </c>
      <c r="F727" s="2" cm="1">
        <f t="array" ref="F727">_xlfn.IFS(B727="Owner Surrender",E727,B727="Stray",E727+6,B727="Stray w/identification",E727+11,B727="Bite",E727+10,B727="Other",Blank)</f>
        <v>45851</v>
      </c>
      <c r="G727" s="2">
        <v>45845</v>
      </c>
      <c r="H727" s="5">
        <f t="shared" si="35"/>
        <v>0</v>
      </c>
      <c r="I727" s="5">
        <f t="shared" si="36"/>
        <v>-6</v>
      </c>
      <c r="J727" s="2" t="s">
        <v>31</v>
      </c>
      <c r="K727" s="2" t="s">
        <v>143</v>
      </c>
      <c r="M727" t="s">
        <v>131</v>
      </c>
      <c r="AD727" s="33" t="str">
        <f t="shared" si="37"/>
        <v>Monday</v>
      </c>
    </row>
    <row r="728" spans="1:30" x14ac:dyDescent="0.2">
      <c r="A728" s="3">
        <v>41134</v>
      </c>
      <c r="B728" s="2" t="s">
        <v>36</v>
      </c>
      <c r="C728" t="s">
        <v>7</v>
      </c>
      <c r="D728" t="s">
        <v>207</v>
      </c>
      <c r="E728" s="2">
        <v>45845</v>
      </c>
      <c r="F728" s="2" cm="1">
        <f t="array" ref="F728">_xlfn.IFS(B728="Owner Surrender",E728,B728="Stray",E728+6,B728="Stray w/identification",E728+11,B728="Bite",E728+10,B728="Other",Blank)</f>
        <v>45845</v>
      </c>
      <c r="G728" s="2">
        <v>45864</v>
      </c>
      <c r="H728" s="5">
        <f t="shared" si="35"/>
        <v>19</v>
      </c>
      <c r="I728" s="5">
        <f t="shared" si="36"/>
        <v>19</v>
      </c>
      <c r="J728" s="2" t="s">
        <v>31</v>
      </c>
      <c r="K728" s="2" t="s">
        <v>587</v>
      </c>
      <c r="AD728" s="33" t="str">
        <f t="shared" si="37"/>
        <v>Saturday</v>
      </c>
    </row>
    <row r="729" spans="1:30" x14ac:dyDescent="0.2">
      <c r="A729" s="3">
        <v>41135</v>
      </c>
      <c r="B729" s="2" t="s">
        <v>36</v>
      </c>
      <c r="C729" t="s">
        <v>10</v>
      </c>
      <c r="D729" t="s">
        <v>207</v>
      </c>
      <c r="E729" s="2">
        <v>45845</v>
      </c>
      <c r="F729" s="2" cm="1">
        <f t="array" ref="F729">_xlfn.IFS(B729="Owner Surrender",E729,B729="Stray",E729+6,B729="Stray w/identification",E729+11,B729="Bite",E729+10,B729="Other",Blank)</f>
        <v>45845</v>
      </c>
      <c r="G729" s="2">
        <v>45881</v>
      </c>
      <c r="H729" s="5">
        <f t="shared" si="35"/>
        <v>36</v>
      </c>
      <c r="I729" s="5">
        <f t="shared" si="36"/>
        <v>36</v>
      </c>
      <c r="J729" s="2" t="s">
        <v>31</v>
      </c>
      <c r="K729" s="2" t="s">
        <v>587</v>
      </c>
      <c r="AD729" s="33" t="str">
        <f t="shared" si="37"/>
        <v>Tuesday</v>
      </c>
    </row>
    <row r="730" spans="1:30" x14ac:dyDescent="0.2">
      <c r="A730" s="3">
        <v>41137</v>
      </c>
      <c r="B730" s="2" t="s">
        <v>38</v>
      </c>
      <c r="C730" t="s">
        <v>7</v>
      </c>
      <c r="D730" t="s">
        <v>208</v>
      </c>
      <c r="E730" s="2">
        <v>45845</v>
      </c>
      <c r="F730" s="2" cm="1">
        <f t="array" ref="F730">_xlfn.IFS(B730="Owner Surrender",E730,B730="Stray",E730+6,B730="Stray w/identification",E730+11,B730="Bite",E730+10,B730="Other",Blank)</f>
        <v>45851</v>
      </c>
      <c r="G730" s="2">
        <v>45845</v>
      </c>
      <c r="H730" s="5">
        <f t="shared" si="35"/>
        <v>0</v>
      </c>
      <c r="I730" s="5">
        <f t="shared" si="36"/>
        <v>-6</v>
      </c>
      <c r="J730" s="2" t="s">
        <v>31</v>
      </c>
      <c r="K730" s="2" t="s">
        <v>143</v>
      </c>
      <c r="M730" t="s">
        <v>131</v>
      </c>
      <c r="AD730" s="33" t="str">
        <f t="shared" si="37"/>
        <v>Monday</v>
      </c>
    </row>
    <row r="731" spans="1:30" x14ac:dyDescent="0.2">
      <c r="A731" s="3">
        <v>41138</v>
      </c>
      <c r="B731" s="2" t="s">
        <v>38</v>
      </c>
      <c r="C731" t="s">
        <v>7</v>
      </c>
      <c r="D731" t="s">
        <v>207</v>
      </c>
      <c r="E731" s="2">
        <v>45845</v>
      </c>
      <c r="F731" s="2" cm="1">
        <f t="array" ref="F731">_xlfn.IFS(B731="Owner Surrender",E731,B731="Stray",E731+6,B731="Stray w/identification",E731+11,B731="Bite",E731+10,B731="Other",Blank)</f>
        <v>45851</v>
      </c>
      <c r="J731" t="s">
        <v>21</v>
      </c>
      <c r="K731" s="2" t="s">
        <v>586</v>
      </c>
      <c r="M731" t="s">
        <v>24</v>
      </c>
      <c r="AD731" s="33" t="str">
        <f t="shared" si="37"/>
        <v>Saturday</v>
      </c>
    </row>
    <row r="732" spans="1:30" x14ac:dyDescent="0.2">
      <c r="A732" s="3">
        <v>41147</v>
      </c>
      <c r="B732" s="2" t="s">
        <v>38</v>
      </c>
      <c r="C732" t="s">
        <v>7</v>
      </c>
      <c r="D732" t="s">
        <v>208</v>
      </c>
      <c r="E732" s="2">
        <v>45845</v>
      </c>
      <c r="F732" s="2" cm="1">
        <f t="array" ref="F732">_xlfn.IFS(B732="Owner Surrender",E732,B732="Stray",E732+6,B732="Stray w/identification",E732+11,B732="Bite",E732+10,B732="Other",Blank)</f>
        <v>45851</v>
      </c>
      <c r="G732" s="2">
        <v>45852</v>
      </c>
      <c r="H732" s="5">
        <f t="shared" ref="H732:H768" si="38">+G732-E732</f>
        <v>7</v>
      </c>
      <c r="I732" s="5">
        <f t="shared" ref="I732:I768" si="39">G732-F732</f>
        <v>1</v>
      </c>
      <c r="J732" t="s">
        <v>31</v>
      </c>
      <c r="K732" s="2" t="s">
        <v>587</v>
      </c>
      <c r="AD732" s="33" t="str">
        <f t="shared" si="37"/>
        <v>Monday</v>
      </c>
    </row>
    <row r="733" spans="1:30" x14ac:dyDescent="0.2">
      <c r="A733" s="3">
        <v>41148</v>
      </c>
      <c r="B733" s="2" t="s">
        <v>38</v>
      </c>
      <c r="C733" t="s">
        <v>7</v>
      </c>
      <c r="D733" t="s">
        <v>208</v>
      </c>
      <c r="E733" s="2">
        <v>45845</v>
      </c>
      <c r="F733" s="2" cm="1">
        <f t="array" ref="F733">_xlfn.IFS(B733="Owner Surrender",E733,B733="Stray",E733+6,B733="Stray w/identification",E733+11,B733="Bite",E733+10,B733="Other",Blank)</f>
        <v>45851</v>
      </c>
      <c r="G733" s="2">
        <v>45852</v>
      </c>
      <c r="H733" s="5">
        <f t="shared" si="38"/>
        <v>7</v>
      </c>
      <c r="I733" s="5">
        <f t="shared" si="39"/>
        <v>1</v>
      </c>
      <c r="J733" t="s">
        <v>31</v>
      </c>
      <c r="K733" s="2" t="s">
        <v>587</v>
      </c>
      <c r="AD733" s="33" t="str">
        <f t="shared" si="37"/>
        <v>Monday</v>
      </c>
    </row>
    <row r="734" spans="1:30" x14ac:dyDescent="0.2">
      <c r="A734" s="3">
        <v>41151</v>
      </c>
      <c r="B734" s="2" t="s">
        <v>38</v>
      </c>
      <c r="C734" t="s">
        <v>7</v>
      </c>
      <c r="D734" t="s">
        <v>208</v>
      </c>
      <c r="E734" s="2">
        <v>45846</v>
      </c>
      <c r="F734" s="2" cm="1">
        <f t="array" ref="F734">_xlfn.IFS(B734="Owner Surrender",E734,B734="Stray",E734+6,B734="Stray w/identification",E734+11,B734="Bite",E734+10,B734="Other",Blank)</f>
        <v>45852</v>
      </c>
      <c r="G734" s="2">
        <v>45874</v>
      </c>
      <c r="H734" s="5">
        <f t="shared" si="38"/>
        <v>28</v>
      </c>
      <c r="I734" s="5">
        <f t="shared" si="39"/>
        <v>22</v>
      </c>
      <c r="J734" t="s">
        <v>31</v>
      </c>
      <c r="K734" s="2" t="s">
        <v>587</v>
      </c>
      <c r="AD734" s="33" t="str">
        <f t="shared" si="37"/>
        <v>Tuesday</v>
      </c>
    </row>
    <row r="735" spans="1:30" x14ac:dyDescent="0.2">
      <c r="A735" s="3">
        <v>41152</v>
      </c>
      <c r="B735" s="2" t="s">
        <v>36</v>
      </c>
      <c r="C735" t="s">
        <v>7</v>
      </c>
      <c r="D735" t="s">
        <v>207</v>
      </c>
      <c r="E735" s="2">
        <v>45846</v>
      </c>
      <c r="F735" s="2" cm="1">
        <f t="array" ref="F735">_xlfn.IFS(B735="Owner Surrender",E735,B735="Stray",E735+6,B735="Stray w/identification",E735+11,B735="Bite",E735+10,B735="Other",Blank)</f>
        <v>45846</v>
      </c>
      <c r="G735" s="2">
        <v>45877</v>
      </c>
      <c r="H735" s="5">
        <f t="shared" si="38"/>
        <v>31</v>
      </c>
      <c r="I735" s="5">
        <f t="shared" si="39"/>
        <v>31</v>
      </c>
      <c r="J735" s="2" t="s">
        <v>31</v>
      </c>
      <c r="K735" s="2" t="s">
        <v>587</v>
      </c>
      <c r="AD735" s="33" t="str">
        <f t="shared" si="37"/>
        <v>Friday</v>
      </c>
    </row>
    <row r="736" spans="1:30" x14ac:dyDescent="0.2">
      <c r="A736" s="3">
        <v>41153</v>
      </c>
      <c r="B736" s="2" t="s">
        <v>36</v>
      </c>
      <c r="C736" t="s">
        <v>7</v>
      </c>
      <c r="D736" t="s">
        <v>207</v>
      </c>
      <c r="E736" s="2">
        <v>45846</v>
      </c>
      <c r="F736" s="2" cm="1">
        <f t="array" ref="F736">_xlfn.IFS(B736="Owner Surrender",E736,B736="Stray",E736+6,B736="Stray w/identification",E736+11,B736="Bite",E736+10,B736="Other",Blank)</f>
        <v>45846</v>
      </c>
      <c r="G736" s="2">
        <v>45855</v>
      </c>
      <c r="H736" s="5">
        <f t="shared" si="38"/>
        <v>9</v>
      </c>
      <c r="I736" s="5">
        <f t="shared" si="39"/>
        <v>9</v>
      </c>
      <c r="J736" s="2" t="s">
        <v>31</v>
      </c>
      <c r="K736" s="2" t="s">
        <v>587</v>
      </c>
      <c r="AD736" s="33" t="str">
        <f t="shared" si="37"/>
        <v>Thursday</v>
      </c>
    </row>
    <row r="737" spans="1:30" x14ac:dyDescent="0.2">
      <c r="A737" s="3">
        <v>41154</v>
      </c>
      <c r="B737" s="2" t="s">
        <v>36</v>
      </c>
      <c r="C737" t="s">
        <v>7</v>
      </c>
      <c r="D737" t="s">
        <v>207</v>
      </c>
      <c r="E737" s="2">
        <v>45846</v>
      </c>
      <c r="F737" s="2" cm="1">
        <f t="array" ref="F737">_xlfn.IFS(B737="Owner Surrender",E737,B737="Stray",E737+6,B737="Stray w/identification",E737+11,B737="Bite",E737+10,B737="Other",Blank)</f>
        <v>45846</v>
      </c>
      <c r="G737" s="2">
        <v>45855</v>
      </c>
      <c r="H737" s="5">
        <f t="shared" si="38"/>
        <v>9</v>
      </c>
      <c r="I737" s="5">
        <f t="shared" si="39"/>
        <v>9</v>
      </c>
      <c r="J737" s="2" t="s">
        <v>31</v>
      </c>
      <c r="K737" s="2" t="s">
        <v>587</v>
      </c>
      <c r="AD737" s="33" t="str">
        <f t="shared" si="37"/>
        <v>Thursday</v>
      </c>
    </row>
    <row r="738" spans="1:30" x14ac:dyDescent="0.2">
      <c r="A738" s="3">
        <v>41155</v>
      </c>
      <c r="B738" s="2" t="s">
        <v>36</v>
      </c>
      <c r="C738" t="s">
        <v>7</v>
      </c>
      <c r="D738" t="s">
        <v>207</v>
      </c>
      <c r="E738" s="2">
        <v>45846</v>
      </c>
      <c r="F738" s="2" cm="1">
        <f t="array" ref="F738">_xlfn.IFS(B738="Owner Surrender",E738,B738="Stray",E738+6,B738="Stray w/identification",E738+11,B738="Bite",E738+10,B738="Other",Blank)</f>
        <v>45846</v>
      </c>
      <c r="G738" s="2">
        <v>45852</v>
      </c>
      <c r="H738" s="5">
        <f t="shared" si="38"/>
        <v>6</v>
      </c>
      <c r="I738" s="5">
        <f t="shared" si="39"/>
        <v>6</v>
      </c>
      <c r="J738" t="s">
        <v>31</v>
      </c>
      <c r="K738" s="2" t="s">
        <v>587</v>
      </c>
      <c r="AD738" s="33" t="str">
        <f t="shared" si="37"/>
        <v>Monday</v>
      </c>
    </row>
    <row r="739" spans="1:30" x14ac:dyDescent="0.2">
      <c r="A739" s="3">
        <v>41158</v>
      </c>
      <c r="B739" s="2" t="s">
        <v>36</v>
      </c>
      <c r="C739" t="s">
        <v>7</v>
      </c>
      <c r="D739" t="s">
        <v>207</v>
      </c>
      <c r="E739" s="2">
        <v>45846</v>
      </c>
      <c r="F739" s="2" cm="1">
        <f t="array" ref="F739">_xlfn.IFS(B739="Owner Surrender",E739,B739="Stray",E739+6,B739="Stray w/identification",E739+11,B739="Bite",E739+10,B739="Other",Blank)</f>
        <v>45846</v>
      </c>
      <c r="G739" s="2">
        <v>45852</v>
      </c>
      <c r="H739" s="5">
        <f t="shared" si="38"/>
        <v>6</v>
      </c>
      <c r="I739" s="5">
        <f t="shared" si="39"/>
        <v>6</v>
      </c>
      <c r="J739" s="2" t="s">
        <v>31</v>
      </c>
      <c r="K739" s="2" t="s">
        <v>587</v>
      </c>
      <c r="AD739" s="33" t="str">
        <f t="shared" si="37"/>
        <v>Monday</v>
      </c>
    </row>
    <row r="740" spans="1:30" x14ac:dyDescent="0.2">
      <c r="A740" s="3">
        <v>41160</v>
      </c>
      <c r="B740" s="2" t="s">
        <v>36</v>
      </c>
      <c r="C740" t="s">
        <v>7</v>
      </c>
      <c r="D740" t="s">
        <v>207</v>
      </c>
      <c r="E740" s="2">
        <v>45846</v>
      </c>
      <c r="F740" s="2" cm="1">
        <f t="array" ref="F740">_xlfn.IFS(B740="Owner Surrender",E740,B740="Stray",E740+6,B740="Stray w/identification",E740+11,B740="Bite",E740+10,B740="Other",Blank)</f>
        <v>45846</v>
      </c>
      <c r="G740" s="2">
        <v>45866</v>
      </c>
      <c r="H740" s="5">
        <f t="shared" si="38"/>
        <v>20</v>
      </c>
      <c r="I740" s="5">
        <f t="shared" si="39"/>
        <v>20</v>
      </c>
      <c r="J740" t="s">
        <v>31</v>
      </c>
      <c r="K740" s="2" t="s">
        <v>587</v>
      </c>
      <c r="M740" t="s">
        <v>36</v>
      </c>
      <c r="AD740" s="33" t="str">
        <f t="shared" si="37"/>
        <v>Monday</v>
      </c>
    </row>
    <row r="741" spans="1:30" x14ac:dyDescent="0.2">
      <c r="A741" s="3">
        <v>41161</v>
      </c>
      <c r="B741" s="2" t="s">
        <v>36</v>
      </c>
      <c r="C741" t="s">
        <v>7</v>
      </c>
      <c r="D741" t="s">
        <v>208</v>
      </c>
      <c r="E741" s="2">
        <v>45846</v>
      </c>
      <c r="F741" s="2" cm="1">
        <f t="array" ref="F741">_xlfn.IFS(B741="Owner Surrender",E741,B741="Stray",E741+6,B741="Stray w/identification",E741+11,B741="Bite",E741+10,B741="Other",Blank)</f>
        <v>45846</v>
      </c>
      <c r="G741" s="2">
        <v>45861</v>
      </c>
      <c r="H741" s="5">
        <f t="shared" si="38"/>
        <v>15</v>
      </c>
      <c r="I741" s="5">
        <f t="shared" si="39"/>
        <v>15</v>
      </c>
      <c r="J741" s="2" t="s">
        <v>31</v>
      </c>
      <c r="K741" s="2" t="s">
        <v>587</v>
      </c>
      <c r="L741" s="2" t="s">
        <v>47</v>
      </c>
      <c r="AD741" s="33" t="str">
        <f t="shared" si="37"/>
        <v>Wednesday</v>
      </c>
    </row>
    <row r="742" spans="1:30" x14ac:dyDescent="0.2">
      <c r="A742" s="3">
        <v>41162</v>
      </c>
      <c r="B742" s="2" t="s">
        <v>36</v>
      </c>
      <c r="C742" t="s">
        <v>7</v>
      </c>
      <c r="D742" t="s">
        <v>208</v>
      </c>
      <c r="E742" s="2">
        <v>45846</v>
      </c>
      <c r="F742" s="2" cm="1">
        <f t="array" ref="F742">_xlfn.IFS(B742="Owner Surrender",E742,B742="Stray",E742+6,B742="Stray w/identification",E742+11,B742="Bite",E742+10,B742="Other",Blank)</f>
        <v>45846</v>
      </c>
      <c r="G742" s="2">
        <v>45861</v>
      </c>
      <c r="H742" s="5">
        <f t="shared" si="38"/>
        <v>15</v>
      </c>
      <c r="I742" s="5">
        <f t="shared" si="39"/>
        <v>15</v>
      </c>
      <c r="J742" s="2" t="s">
        <v>31</v>
      </c>
      <c r="K742" s="2" t="s">
        <v>587</v>
      </c>
      <c r="AD742" s="33" t="str">
        <f t="shared" si="37"/>
        <v>Wednesday</v>
      </c>
    </row>
    <row r="743" spans="1:30" x14ac:dyDescent="0.2">
      <c r="A743" s="3">
        <v>41163</v>
      </c>
      <c r="B743" s="2" t="s">
        <v>36</v>
      </c>
      <c r="C743" t="s">
        <v>15</v>
      </c>
      <c r="D743" t="s">
        <v>208</v>
      </c>
      <c r="E743" s="2">
        <v>45846</v>
      </c>
      <c r="F743" s="2" cm="1">
        <f t="array" ref="F743">_xlfn.IFS(B743="Owner Surrender",E743,B743="Stray",E743+6,B743="Stray w/identification",E743+11,B743="Bite",E743+10,B743="Other",Blank)</f>
        <v>45846</v>
      </c>
      <c r="G743" s="2">
        <v>45852</v>
      </c>
      <c r="H743" s="5">
        <f t="shared" si="38"/>
        <v>6</v>
      </c>
      <c r="I743" s="5">
        <f t="shared" si="39"/>
        <v>6</v>
      </c>
      <c r="J743" s="2" t="s">
        <v>31</v>
      </c>
      <c r="K743" s="2" t="s">
        <v>587</v>
      </c>
      <c r="AD743" s="33" t="str">
        <f t="shared" si="37"/>
        <v>Monday</v>
      </c>
    </row>
    <row r="744" spans="1:30" x14ac:dyDescent="0.2">
      <c r="A744" s="3">
        <v>41164</v>
      </c>
      <c r="B744" s="2" t="s">
        <v>36</v>
      </c>
      <c r="C744" t="s">
        <v>7</v>
      </c>
      <c r="D744" t="s">
        <v>208</v>
      </c>
      <c r="E744" s="2">
        <v>45847</v>
      </c>
      <c r="F744" s="2" cm="1">
        <f t="array" ref="F744">_xlfn.IFS(B744="Owner Surrender",E744,B744="Stray",E744+6,B744="Stray w/identification",E744+11,B744="Bite",E744+10,B744="Other",Blank)</f>
        <v>45847</v>
      </c>
      <c r="G744" s="2">
        <v>45852</v>
      </c>
      <c r="H744" s="5">
        <f t="shared" si="38"/>
        <v>5</v>
      </c>
      <c r="I744" s="5">
        <f t="shared" si="39"/>
        <v>5</v>
      </c>
      <c r="J744" s="2" t="s">
        <v>31</v>
      </c>
      <c r="K744" s="2" t="s">
        <v>587</v>
      </c>
      <c r="AD744" s="33" t="str">
        <f t="shared" si="37"/>
        <v>Monday</v>
      </c>
    </row>
    <row r="745" spans="1:30" x14ac:dyDescent="0.2">
      <c r="A745" s="3">
        <v>41167</v>
      </c>
      <c r="B745" s="2" t="s">
        <v>38</v>
      </c>
      <c r="C745" t="s">
        <v>10</v>
      </c>
      <c r="D745" t="s">
        <v>208</v>
      </c>
      <c r="E745" s="2">
        <v>45847</v>
      </c>
      <c r="F745" s="2" cm="1">
        <f t="array" ref="F745">_xlfn.IFS(B745="Owner Surrender",E745,B745="Stray",E745+6,B745="Stray w/identification",E745+11,B745="Bite",E745+10,B745="Other",Blank)</f>
        <v>45853</v>
      </c>
      <c r="G745" s="2">
        <v>45847</v>
      </c>
      <c r="H745" s="5">
        <f t="shared" si="38"/>
        <v>0</v>
      </c>
      <c r="I745" s="5">
        <f t="shared" si="39"/>
        <v>-6</v>
      </c>
      <c r="J745" t="s">
        <v>31</v>
      </c>
      <c r="K745" s="2" t="s">
        <v>588</v>
      </c>
      <c r="M745" t="s">
        <v>35</v>
      </c>
      <c r="AD745" s="33" t="str">
        <f t="shared" si="37"/>
        <v>Wednesday</v>
      </c>
    </row>
    <row r="746" spans="1:30" x14ac:dyDescent="0.2">
      <c r="A746" s="3">
        <v>41168</v>
      </c>
      <c r="B746" s="2" t="s">
        <v>38</v>
      </c>
      <c r="C746" t="s">
        <v>7</v>
      </c>
      <c r="D746" t="s">
        <v>209</v>
      </c>
      <c r="E746" s="2">
        <v>45847</v>
      </c>
      <c r="F746" s="2" cm="1">
        <f t="array" ref="F746">_xlfn.IFS(B746="Owner Surrender",E746,B746="Stray",E746+6,B746="Stray w/identification",E746+11,B746="Bite",E746+10,B746="Other",Blank)</f>
        <v>45853</v>
      </c>
      <c r="G746" s="2">
        <v>45861</v>
      </c>
      <c r="H746" s="5">
        <f t="shared" si="38"/>
        <v>14</v>
      </c>
      <c r="I746" s="5">
        <f t="shared" si="39"/>
        <v>8</v>
      </c>
      <c r="J746" s="2" t="s">
        <v>31</v>
      </c>
      <c r="K746" s="2" t="s">
        <v>587</v>
      </c>
      <c r="M746" t="s">
        <v>34</v>
      </c>
      <c r="AD746" s="33" t="str">
        <f t="shared" si="37"/>
        <v>Wednesday</v>
      </c>
    </row>
    <row r="747" spans="1:30" x14ac:dyDescent="0.2">
      <c r="A747" s="3">
        <v>41169</v>
      </c>
      <c r="B747" s="2" t="s">
        <v>38</v>
      </c>
      <c r="C747" t="s">
        <v>7</v>
      </c>
      <c r="D747" t="s">
        <v>209</v>
      </c>
      <c r="E747" s="2">
        <v>45847</v>
      </c>
      <c r="F747" s="2" cm="1">
        <f t="array" ref="F747">_xlfn.IFS(B747="Owner Surrender",E747,B747="Stray",E747+6,B747="Stray w/identification",E747+11,B747="Bite",E747+10,B747="Other",Blank)</f>
        <v>45853</v>
      </c>
      <c r="G747" s="2">
        <v>45861</v>
      </c>
      <c r="H747" s="5">
        <f t="shared" si="38"/>
        <v>14</v>
      </c>
      <c r="I747" s="5">
        <f t="shared" si="39"/>
        <v>8</v>
      </c>
      <c r="J747" s="2" t="s">
        <v>31</v>
      </c>
      <c r="K747" s="2" t="s">
        <v>587</v>
      </c>
      <c r="M747" t="s">
        <v>34</v>
      </c>
      <c r="AD747" s="33" t="str">
        <f t="shared" si="37"/>
        <v>Wednesday</v>
      </c>
    </row>
    <row r="748" spans="1:30" x14ac:dyDescent="0.2">
      <c r="A748" s="3">
        <v>41172</v>
      </c>
      <c r="B748" s="2" t="s">
        <v>41</v>
      </c>
      <c r="C748" t="s">
        <v>7</v>
      </c>
      <c r="D748" t="s">
        <v>208</v>
      </c>
      <c r="E748" s="2">
        <v>45847</v>
      </c>
      <c r="F748" s="2" cm="1">
        <f t="array" ref="F748">_xlfn.IFS(B748="Owner Surrender",E748,B748="Stray",E748+6,B748="Stray w/identification",E748+11,B748="Bite",E748+10,B748="Other",Blank)</f>
        <v>45857</v>
      </c>
      <c r="G748" s="2">
        <v>45876</v>
      </c>
      <c r="H748" s="5">
        <f t="shared" si="38"/>
        <v>29</v>
      </c>
      <c r="I748" s="5">
        <f t="shared" si="39"/>
        <v>19</v>
      </c>
      <c r="J748" s="2" t="s">
        <v>31</v>
      </c>
      <c r="K748" s="2" t="s">
        <v>587</v>
      </c>
      <c r="AD748" s="33" t="str">
        <f t="shared" si="37"/>
        <v>Thursday</v>
      </c>
    </row>
    <row r="749" spans="1:30" x14ac:dyDescent="0.2">
      <c r="A749" s="3">
        <v>41177</v>
      </c>
      <c r="B749" s="2" t="s">
        <v>38</v>
      </c>
      <c r="C749" t="s">
        <v>7</v>
      </c>
      <c r="D749" t="s">
        <v>208</v>
      </c>
      <c r="E749" s="2">
        <v>45847</v>
      </c>
      <c r="F749" s="2" cm="1">
        <f t="array" ref="F749">_xlfn.IFS(B749="Owner Surrender",E749,B749="Stray",E749+6,B749="Stray w/identification",E749+11,B749="Bite",E749+10,B749="Other",Blank)</f>
        <v>45853</v>
      </c>
      <c r="G749" s="2">
        <v>45856</v>
      </c>
      <c r="H749" s="5">
        <f t="shared" si="38"/>
        <v>9</v>
      </c>
      <c r="I749" s="5">
        <f t="shared" si="39"/>
        <v>3</v>
      </c>
      <c r="J749" s="2" t="s">
        <v>31</v>
      </c>
      <c r="K749" s="2" t="s">
        <v>587</v>
      </c>
      <c r="AD749" s="33" t="str">
        <f t="shared" si="37"/>
        <v>Friday</v>
      </c>
    </row>
    <row r="750" spans="1:30" x14ac:dyDescent="0.2">
      <c r="A750" s="3">
        <v>41179</v>
      </c>
      <c r="B750" s="2" t="s">
        <v>38</v>
      </c>
      <c r="C750" t="s">
        <v>7</v>
      </c>
      <c r="D750" t="s">
        <v>208</v>
      </c>
      <c r="E750" s="2">
        <v>45848</v>
      </c>
      <c r="F750" s="2" cm="1">
        <f t="array" ref="F750">_xlfn.IFS(B750="Owner Surrender",E750,B750="Stray",E750+6,B750="Stray w/identification",E750+11,B750="Bite",E750+10,B750="Other",Blank)</f>
        <v>45854</v>
      </c>
      <c r="G750" s="2">
        <v>45856</v>
      </c>
      <c r="H750" s="5">
        <f t="shared" si="38"/>
        <v>8</v>
      </c>
      <c r="I750" s="5">
        <f t="shared" si="39"/>
        <v>2</v>
      </c>
      <c r="J750" s="2" t="s">
        <v>31</v>
      </c>
      <c r="K750" s="2" t="s">
        <v>587</v>
      </c>
      <c r="M750" t="s">
        <v>34</v>
      </c>
      <c r="AD750" s="33" t="str">
        <f t="shared" si="37"/>
        <v>Friday</v>
      </c>
    </row>
    <row r="751" spans="1:30" x14ac:dyDescent="0.2">
      <c r="A751" s="3">
        <v>41180</v>
      </c>
      <c r="B751" s="2" t="s">
        <v>38</v>
      </c>
      <c r="C751" t="s">
        <v>7</v>
      </c>
      <c r="D751" t="s">
        <v>207</v>
      </c>
      <c r="E751" s="2">
        <v>45848</v>
      </c>
      <c r="F751" s="2" cm="1">
        <f t="array" ref="F751">_xlfn.IFS(B751="Owner Surrender",E751,B751="Stray",E751+6,B751="Stray w/identification",E751+11,B751="Bite",E751+10,B751="Other",Blank)</f>
        <v>45854</v>
      </c>
      <c r="G751" s="2">
        <v>45856</v>
      </c>
      <c r="H751" s="5">
        <f t="shared" si="38"/>
        <v>8</v>
      </c>
      <c r="I751" s="5">
        <f t="shared" si="39"/>
        <v>2</v>
      </c>
      <c r="J751" s="2" t="s">
        <v>31</v>
      </c>
      <c r="K751" s="2" t="s">
        <v>587</v>
      </c>
      <c r="AD751" s="33" t="str">
        <f t="shared" si="37"/>
        <v>Friday</v>
      </c>
    </row>
    <row r="752" spans="1:30" x14ac:dyDescent="0.2">
      <c r="A752" s="3">
        <v>41181</v>
      </c>
      <c r="B752" s="2" t="s">
        <v>38</v>
      </c>
      <c r="C752" t="s">
        <v>7</v>
      </c>
      <c r="D752" t="s">
        <v>208</v>
      </c>
      <c r="E752" s="2">
        <v>45848</v>
      </c>
      <c r="F752" s="2" cm="1">
        <f t="array" ref="F752">_xlfn.IFS(B752="Owner Surrender",E752,B752="Stray",E752+6,B752="Stray w/identification",E752+11,B752="Bite",E752+10,B752="Other",Blank)</f>
        <v>45854</v>
      </c>
      <c r="G752" s="2">
        <v>45852</v>
      </c>
      <c r="H752" s="5">
        <f t="shared" si="38"/>
        <v>4</v>
      </c>
      <c r="I752" s="5">
        <f t="shared" si="39"/>
        <v>-2</v>
      </c>
      <c r="J752" t="s">
        <v>31</v>
      </c>
      <c r="K752" s="2" t="s">
        <v>588</v>
      </c>
      <c r="M752" t="s">
        <v>33</v>
      </c>
      <c r="AD752" s="33" t="str">
        <f t="shared" si="37"/>
        <v>Monday</v>
      </c>
    </row>
    <row r="753" spans="1:30" x14ac:dyDescent="0.2">
      <c r="A753" s="3">
        <v>41182</v>
      </c>
      <c r="B753" s="2" t="s">
        <v>38</v>
      </c>
      <c r="C753" t="s">
        <v>7</v>
      </c>
      <c r="D753" t="s">
        <v>208</v>
      </c>
      <c r="E753" s="2">
        <v>45848</v>
      </c>
      <c r="F753" s="2" cm="1">
        <f t="array" ref="F753">_xlfn.IFS(B753="Owner Surrender",E753,B753="Stray",E753+6,B753="Stray w/identification",E753+11,B753="Bite",E753+10,B753="Other",Blank)</f>
        <v>45854</v>
      </c>
      <c r="G753" s="2">
        <v>45852</v>
      </c>
      <c r="H753" s="5">
        <f t="shared" si="38"/>
        <v>4</v>
      </c>
      <c r="I753" s="5">
        <f t="shared" si="39"/>
        <v>-2</v>
      </c>
      <c r="J753" t="s">
        <v>31</v>
      </c>
      <c r="K753" s="2" t="s">
        <v>588</v>
      </c>
      <c r="M753" t="s">
        <v>33</v>
      </c>
      <c r="AD753" s="33" t="str">
        <f t="shared" si="37"/>
        <v>Monday</v>
      </c>
    </row>
    <row r="754" spans="1:30" x14ac:dyDescent="0.2">
      <c r="A754" s="3">
        <v>41183</v>
      </c>
      <c r="B754" s="2" t="s">
        <v>36</v>
      </c>
      <c r="C754" t="s">
        <v>7</v>
      </c>
      <c r="D754" t="s">
        <v>208</v>
      </c>
      <c r="E754" s="2">
        <v>45848</v>
      </c>
      <c r="F754" s="2" cm="1">
        <f t="array" ref="F754">_xlfn.IFS(B754="Owner Surrender",E754,B754="Stray",E754+6,B754="Stray w/identification",E754+11,B754="Bite",E754+10,B754="Other",Blank)</f>
        <v>45848</v>
      </c>
      <c r="G754" s="2">
        <v>45852</v>
      </c>
      <c r="H754" s="5">
        <f t="shared" si="38"/>
        <v>4</v>
      </c>
      <c r="I754" s="5">
        <f t="shared" si="39"/>
        <v>4</v>
      </c>
      <c r="J754" t="s">
        <v>31</v>
      </c>
      <c r="K754" s="2" t="s">
        <v>587</v>
      </c>
      <c r="AD754" s="33" t="str">
        <f t="shared" si="37"/>
        <v>Monday</v>
      </c>
    </row>
    <row r="755" spans="1:30" x14ac:dyDescent="0.2">
      <c r="A755" s="3">
        <v>41184</v>
      </c>
      <c r="B755" s="2" t="s">
        <v>36</v>
      </c>
      <c r="C755" t="s">
        <v>7</v>
      </c>
      <c r="D755" t="s">
        <v>208</v>
      </c>
      <c r="E755" s="2">
        <v>45848</v>
      </c>
      <c r="F755" s="2" cm="1">
        <f t="array" ref="F755">_xlfn.IFS(B755="Owner Surrender",E755,B755="Stray",E755+6,B755="Stray w/identification",E755+11,B755="Bite",E755+10,B755="Other",Blank)</f>
        <v>45848</v>
      </c>
      <c r="G755" s="2">
        <v>45852</v>
      </c>
      <c r="H755" s="5">
        <f t="shared" si="38"/>
        <v>4</v>
      </c>
      <c r="I755" s="5">
        <f t="shared" si="39"/>
        <v>4</v>
      </c>
      <c r="J755" t="s">
        <v>31</v>
      </c>
      <c r="K755" s="2" t="s">
        <v>587</v>
      </c>
      <c r="AD755" s="33" t="str">
        <f t="shared" si="37"/>
        <v>Monday</v>
      </c>
    </row>
    <row r="756" spans="1:30" x14ac:dyDescent="0.2">
      <c r="A756" s="3">
        <v>41186</v>
      </c>
      <c r="B756" s="2" t="s">
        <v>36</v>
      </c>
      <c r="C756" t="s">
        <v>7</v>
      </c>
      <c r="D756" t="s">
        <v>207</v>
      </c>
      <c r="E756" s="2">
        <v>45848</v>
      </c>
      <c r="F756" s="2" cm="1">
        <f t="array" ref="F756">_xlfn.IFS(B756="Owner Surrender",E756,B756="Stray",E756+6,B756="Stray w/identification",E756+11,B756="Bite",E756+10,B756="Other",Blank)</f>
        <v>45848</v>
      </c>
      <c r="G756" s="2">
        <v>45852</v>
      </c>
      <c r="H756" s="5">
        <f t="shared" si="38"/>
        <v>4</v>
      </c>
      <c r="I756" s="5">
        <f t="shared" si="39"/>
        <v>4</v>
      </c>
      <c r="J756" s="2" t="s">
        <v>31</v>
      </c>
      <c r="K756" s="2" t="s">
        <v>587</v>
      </c>
      <c r="AD756" s="33" t="str">
        <f t="shared" si="37"/>
        <v>Monday</v>
      </c>
    </row>
    <row r="757" spans="1:30" x14ac:dyDescent="0.2">
      <c r="A757" s="3">
        <v>41194</v>
      </c>
      <c r="B757" s="2" t="s">
        <v>38</v>
      </c>
      <c r="C757" t="s">
        <v>7</v>
      </c>
      <c r="D757" t="s">
        <v>207</v>
      </c>
      <c r="E757" s="2">
        <v>45848</v>
      </c>
      <c r="F757" s="2" cm="1">
        <f t="array" ref="F757">_xlfn.IFS(B757="Owner Surrender",E757,B757="Stray",E757+6,B757="Stray w/identification",E757+11,B757="Bite",E757+10,B757="Other",Blank)</f>
        <v>45854</v>
      </c>
      <c r="G757" s="2">
        <v>45863</v>
      </c>
      <c r="H757" s="5">
        <f t="shared" si="38"/>
        <v>15</v>
      </c>
      <c r="I757" s="5">
        <f t="shared" si="39"/>
        <v>9</v>
      </c>
      <c r="J757" s="2" t="s">
        <v>11</v>
      </c>
      <c r="K757" s="2" t="s">
        <v>586</v>
      </c>
      <c r="L757" t="s">
        <v>14</v>
      </c>
      <c r="AD757" s="33" t="str">
        <f t="shared" si="37"/>
        <v>Friday</v>
      </c>
    </row>
    <row r="758" spans="1:30" x14ac:dyDescent="0.2">
      <c r="A758" s="3">
        <v>41195</v>
      </c>
      <c r="B758" s="2" t="s">
        <v>36</v>
      </c>
      <c r="C758" t="s">
        <v>7</v>
      </c>
      <c r="D758" t="s">
        <v>208</v>
      </c>
      <c r="E758" s="2">
        <v>45849</v>
      </c>
      <c r="F758" s="2" cm="1">
        <f t="array" ref="F758">_xlfn.IFS(B758="Owner Surrender",E758,B758="Stray",E758+6,B758="Stray w/identification",E758+11,B758="Bite",E758+10,B758="Other",Blank)</f>
        <v>45849</v>
      </c>
      <c r="G758" s="2">
        <v>45855</v>
      </c>
      <c r="H758" s="5">
        <f t="shared" si="38"/>
        <v>6</v>
      </c>
      <c r="I758" s="5">
        <f t="shared" si="39"/>
        <v>6</v>
      </c>
      <c r="J758" s="2" t="s">
        <v>31</v>
      </c>
      <c r="K758" s="2" t="s">
        <v>587</v>
      </c>
      <c r="AD758" s="33" t="str">
        <f t="shared" si="37"/>
        <v>Thursday</v>
      </c>
    </row>
    <row r="759" spans="1:30" x14ac:dyDescent="0.2">
      <c r="A759" s="3">
        <v>41196</v>
      </c>
      <c r="B759" s="2" t="s">
        <v>36</v>
      </c>
      <c r="C759" t="s">
        <v>7</v>
      </c>
      <c r="D759" t="s">
        <v>208</v>
      </c>
      <c r="E759" s="2">
        <v>45849</v>
      </c>
      <c r="F759" s="2" cm="1">
        <f t="array" ref="F759">_xlfn.IFS(B759="Owner Surrender",E759,B759="Stray",E759+6,B759="Stray w/identification",E759+11,B759="Bite",E759+10,B759="Other",Blank)</f>
        <v>45849</v>
      </c>
      <c r="G759" s="2">
        <v>45855</v>
      </c>
      <c r="H759" s="5">
        <f t="shared" si="38"/>
        <v>6</v>
      </c>
      <c r="I759" s="5">
        <f t="shared" si="39"/>
        <v>6</v>
      </c>
      <c r="J759" s="2" t="s">
        <v>31</v>
      </c>
      <c r="K759" s="2" t="s">
        <v>587</v>
      </c>
      <c r="AD759" s="33" t="str">
        <f t="shared" si="37"/>
        <v>Thursday</v>
      </c>
    </row>
    <row r="760" spans="1:30" x14ac:dyDescent="0.2">
      <c r="A760" s="3">
        <v>41197</v>
      </c>
      <c r="B760" s="2" t="s">
        <v>36</v>
      </c>
      <c r="C760" t="s">
        <v>7</v>
      </c>
      <c r="D760" t="s">
        <v>208</v>
      </c>
      <c r="E760" s="2">
        <v>45849</v>
      </c>
      <c r="F760" s="2" cm="1">
        <f t="array" ref="F760">_xlfn.IFS(B760="Owner Surrender",E760,B760="Stray",E760+6,B760="Stray w/identification",E760+11,B760="Bite",E760+10,B760="Other",Blank)</f>
        <v>45849</v>
      </c>
      <c r="G760" s="2">
        <v>45855</v>
      </c>
      <c r="H760" s="5">
        <f t="shared" si="38"/>
        <v>6</v>
      </c>
      <c r="I760" s="5">
        <f t="shared" si="39"/>
        <v>6</v>
      </c>
      <c r="J760" s="2" t="s">
        <v>31</v>
      </c>
      <c r="K760" s="2" t="s">
        <v>587</v>
      </c>
      <c r="AD760" s="33" t="str">
        <f t="shared" si="37"/>
        <v>Thursday</v>
      </c>
    </row>
    <row r="761" spans="1:30" x14ac:dyDescent="0.2">
      <c r="A761" s="3">
        <v>41198</v>
      </c>
      <c r="B761" s="2" t="s">
        <v>36</v>
      </c>
      <c r="C761" t="s">
        <v>7</v>
      </c>
      <c r="D761" t="s">
        <v>208</v>
      </c>
      <c r="E761" s="2">
        <v>45849</v>
      </c>
      <c r="F761" s="2" cm="1">
        <f t="array" ref="F761">_xlfn.IFS(B761="Owner Surrender",E761,B761="Stray",E761+6,B761="Stray w/identification",E761+11,B761="Bite",E761+10,B761="Other",Blank)</f>
        <v>45849</v>
      </c>
      <c r="G761" s="2">
        <v>45855</v>
      </c>
      <c r="H761" s="5">
        <f t="shared" si="38"/>
        <v>6</v>
      </c>
      <c r="I761" s="5">
        <f t="shared" si="39"/>
        <v>6</v>
      </c>
      <c r="J761" s="2" t="s">
        <v>31</v>
      </c>
      <c r="K761" s="2" t="s">
        <v>587</v>
      </c>
      <c r="AD761" s="33" t="str">
        <f t="shared" si="37"/>
        <v>Thursday</v>
      </c>
    </row>
    <row r="762" spans="1:30" x14ac:dyDescent="0.2">
      <c r="A762" s="3">
        <v>41199</v>
      </c>
      <c r="B762" s="2" t="s">
        <v>36</v>
      </c>
      <c r="C762" t="s">
        <v>7</v>
      </c>
      <c r="D762" t="s">
        <v>207</v>
      </c>
      <c r="E762" s="2">
        <v>45849</v>
      </c>
      <c r="F762" s="2" cm="1">
        <f t="array" ref="F762">_xlfn.IFS(B762="Owner Surrender",E762,B762="Stray",E762+6,B762="Stray w/identification",E762+11,B762="Bite",E762+10,B762="Other",Blank)</f>
        <v>45849</v>
      </c>
      <c r="G762" s="2">
        <v>45856</v>
      </c>
      <c r="H762" s="5">
        <f t="shared" si="38"/>
        <v>7</v>
      </c>
      <c r="I762" s="5">
        <f t="shared" si="39"/>
        <v>7</v>
      </c>
      <c r="J762" s="2" t="s">
        <v>31</v>
      </c>
      <c r="K762" s="2" t="s">
        <v>587</v>
      </c>
      <c r="AD762" s="33" t="str">
        <f t="shared" si="37"/>
        <v>Friday</v>
      </c>
    </row>
    <row r="763" spans="1:30" x14ac:dyDescent="0.2">
      <c r="A763" s="3">
        <v>41203</v>
      </c>
      <c r="B763" s="2" t="s">
        <v>38</v>
      </c>
      <c r="C763" t="s">
        <v>7</v>
      </c>
      <c r="D763" t="s">
        <v>208</v>
      </c>
      <c r="E763" s="2">
        <v>45850</v>
      </c>
      <c r="F763" s="2" cm="1">
        <f t="array" ref="F763">_xlfn.IFS(B763="Owner Surrender",E763,B763="Stray",E763+6,B763="Stray w/identification",E763+11,B763="Bite",E763+10,B763="Other",Blank)</f>
        <v>45856</v>
      </c>
      <c r="G763" s="2">
        <v>45850</v>
      </c>
      <c r="H763" s="5">
        <f t="shared" si="38"/>
        <v>0</v>
      </c>
      <c r="I763" s="5">
        <f t="shared" si="39"/>
        <v>-6</v>
      </c>
      <c r="J763" s="2" t="s">
        <v>31</v>
      </c>
      <c r="K763" s="2" t="s">
        <v>143</v>
      </c>
      <c r="M763" t="s">
        <v>143</v>
      </c>
      <c r="AD763" s="33" t="str">
        <f t="shared" si="37"/>
        <v>Saturday</v>
      </c>
    </row>
    <row r="764" spans="1:30" x14ac:dyDescent="0.2">
      <c r="A764" s="3">
        <v>41204</v>
      </c>
      <c r="B764" s="2" t="s">
        <v>38</v>
      </c>
      <c r="C764" t="s">
        <v>7</v>
      </c>
      <c r="D764" t="s">
        <v>208</v>
      </c>
      <c r="E764" s="2">
        <v>45850</v>
      </c>
      <c r="F764" s="2" cm="1">
        <f t="array" ref="F764">_xlfn.IFS(B764="Owner Surrender",E764,B764="Stray",E764+6,B764="Stray w/identification",E764+11,B764="Bite",E764+10,B764="Other",Blank)</f>
        <v>45856</v>
      </c>
      <c r="G764" s="2">
        <v>45850</v>
      </c>
      <c r="H764" s="5">
        <f t="shared" si="38"/>
        <v>0</v>
      </c>
      <c r="I764" s="5">
        <f t="shared" si="39"/>
        <v>-6</v>
      </c>
      <c r="J764" s="2" t="s">
        <v>31</v>
      </c>
      <c r="K764" s="2" t="s">
        <v>143</v>
      </c>
      <c r="M764" t="s">
        <v>143</v>
      </c>
      <c r="AD764" s="33" t="str">
        <f t="shared" si="37"/>
        <v>Saturday</v>
      </c>
    </row>
    <row r="765" spans="1:30" x14ac:dyDescent="0.2">
      <c r="A765" s="3">
        <v>41205</v>
      </c>
      <c r="B765" s="2" t="s">
        <v>43</v>
      </c>
      <c r="C765" t="s">
        <v>7</v>
      </c>
      <c r="D765" t="s">
        <v>208</v>
      </c>
      <c r="E765" s="2">
        <v>45849</v>
      </c>
      <c r="F765" s="2" t="e" cm="1">
        <f t="array" ref="F765">_xlfn.IFS(B765="Owner Surrender",E765,B765="Stray",E765+6,B765="Stray w/identification",E765+11,B765="Bite",E765+10,B765="Other",Blank)</f>
        <v>#N/A</v>
      </c>
      <c r="G765" s="2">
        <v>45866</v>
      </c>
      <c r="H765" s="5">
        <f t="shared" si="38"/>
        <v>17</v>
      </c>
      <c r="I765" s="5" t="e">
        <f t="shared" si="39"/>
        <v>#N/A</v>
      </c>
      <c r="J765" t="s">
        <v>31</v>
      </c>
      <c r="K765" s="2" t="s">
        <v>143</v>
      </c>
      <c r="M765" t="s">
        <v>40</v>
      </c>
      <c r="AD765" s="33" t="str">
        <f t="shared" si="37"/>
        <v>Monday</v>
      </c>
    </row>
    <row r="766" spans="1:30" x14ac:dyDescent="0.2">
      <c r="A766" s="3">
        <v>41206</v>
      </c>
      <c r="B766" s="2" t="s">
        <v>43</v>
      </c>
      <c r="C766" t="s">
        <v>7</v>
      </c>
      <c r="D766" t="s">
        <v>208</v>
      </c>
      <c r="E766" s="2">
        <v>45849</v>
      </c>
      <c r="F766" s="2" t="e" cm="1">
        <f t="array" ref="F766">_xlfn.IFS(B766="Owner Surrender",E766,B766="Stray",E766+6,B766="Stray w/identification",E766+11,B766="Bite",E766+10,B766="Other",Blank)</f>
        <v>#N/A</v>
      </c>
      <c r="G766" s="2">
        <v>45866</v>
      </c>
      <c r="H766" s="5">
        <f t="shared" si="38"/>
        <v>17</v>
      </c>
      <c r="I766" s="5" t="e">
        <f t="shared" si="39"/>
        <v>#N/A</v>
      </c>
      <c r="J766" t="s">
        <v>31</v>
      </c>
      <c r="K766" s="2" t="s">
        <v>143</v>
      </c>
      <c r="M766" t="s">
        <v>40</v>
      </c>
      <c r="AD766" s="33" t="str">
        <f t="shared" si="37"/>
        <v>Monday</v>
      </c>
    </row>
    <row r="767" spans="1:30" x14ac:dyDescent="0.2">
      <c r="A767" s="3">
        <v>41209</v>
      </c>
      <c r="B767" s="2" t="s">
        <v>38</v>
      </c>
      <c r="C767" t="s">
        <v>7</v>
      </c>
      <c r="D767" t="s">
        <v>207</v>
      </c>
      <c r="E767" s="2">
        <v>45850</v>
      </c>
      <c r="F767" s="2" cm="1">
        <f t="array" ref="F767">_xlfn.IFS(B767="Owner Surrender",E767,B767="Stray",E767+6,B767="Stray w/identification",E767+11,B767="Bite",E767+10,B767="Other",Blank)</f>
        <v>45856</v>
      </c>
      <c r="G767" s="2">
        <v>45881</v>
      </c>
      <c r="H767" s="5">
        <f t="shared" si="38"/>
        <v>31</v>
      </c>
      <c r="I767" s="5">
        <f t="shared" si="39"/>
        <v>25</v>
      </c>
      <c r="J767" s="2" t="s">
        <v>31</v>
      </c>
      <c r="K767" s="2" t="s">
        <v>587</v>
      </c>
      <c r="L767" s="2" t="s">
        <v>145</v>
      </c>
      <c r="M767" s="2" t="s">
        <v>146</v>
      </c>
      <c r="AD767" s="33" t="str">
        <f t="shared" si="37"/>
        <v>Tuesday</v>
      </c>
    </row>
    <row r="768" spans="1:30" x14ac:dyDescent="0.2">
      <c r="A768" s="3">
        <v>41211</v>
      </c>
      <c r="B768" s="2" t="s">
        <v>38</v>
      </c>
      <c r="C768" t="s">
        <v>7</v>
      </c>
      <c r="D768" t="s">
        <v>208</v>
      </c>
      <c r="E768" s="2">
        <v>45851</v>
      </c>
      <c r="F768" s="2" cm="1">
        <f t="array" ref="F768">_xlfn.IFS(B768="Owner Surrender",E768,B768="Stray",E768+6,B768="Stray w/identification",E768+11,B768="Bite",E768+10,B768="Other",Blank)</f>
        <v>45857</v>
      </c>
      <c r="G768" s="2">
        <v>45851</v>
      </c>
      <c r="H768" s="5">
        <f t="shared" si="38"/>
        <v>0</v>
      </c>
      <c r="I768" s="5">
        <f t="shared" si="39"/>
        <v>-6</v>
      </c>
      <c r="J768" s="2" t="s">
        <v>31</v>
      </c>
      <c r="K768" s="2" t="s">
        <v>588</v>
      </c>
      <c r="M768" t="s">
        <v>147</v>
      </c>
      <c r="AD768" s="33" t="str">
        <f t="shared" si="37"/>
        <v>Sunday</v>
      </c>
    </row>
    <row r="769" spans="1:30" x14ac:dyDescent="0.2">
      <c r="A769" s="3">
        <v>41212</v>
      </c>
      <c r="B769" s="2" t="s">
        <v>38</v>
      </c>
      <c r="C769" t="s">
        <v>7</v>
      </c>
      <c r="D769" t="s">
        <v>208</v>
      </c>
      <c r="E769" s="2">
        <v>45851</v>
      </c>
      <c r="F769" s="2" cm="1">
        <f t="array" ref="F769">_xlfn.IFS(B769="Owner Surrender",E769,B769="Stray",E769+6,B769="Stray w/identification",E769+11,B769="Bite",E769+10,B769="Other",Blank)</f>
        <v>45857</v>
      </c>
      <c r="J769" t="s">
        <v>21</v>
      </c>
      <c r="K769" s="2" t="s">
        <v>586</v>
      </c>
      <c r="L769" t="s">
        <v>23</v>
      </c>
      <c r="AD769" s="33" t="str">
        <f t="shared" si="37"/>
        <v>Saturday</v>
      </c>
    </row>
    <row r="770" spans="1:30" x14ac:dyDescent="0.2">
      <c r="A770" s="3">
        <v>41213</v>
      </c>
      <c r="B770" s="2" t="s">
        <v>38</v>
      </c>
      <c r="C770" t="s">
        <v>7</v>
      </c>
      <c r="D770" t="s">
        <v>208</v>
      </c>
      <c r="E770" s="2">
        <v>45851</v>
      </c>
      <c r="F770" s="2" cm="1">
        <f t="array" ref="F770">_xlfn.IFS(B770="Owner Surrender",E770,B770="Stray",E770+6,B770="Stray w/identification",E770+11,B770="Bite",E770+10,B770="Other",Blank)</f>
        <v>45857</v>
      </c>
      <c r="G770" s="2">
        <v>45856</v>
      </c>
      <c r="H770" s="5">
        <f t="shared" ref="H770:H785" si="40">+G770-E770</f>
        <v>5</v>
      </c>
      <c r="I770" s="5">
        <f t="shared" ref="I770:I785" si="41">G770-F770</f>
        <v>-1</v>
      </c>
      <c r="J770" s="2" t="s">
        <v>31</v>
      </c>
      <c r="K770" s="2" t="s">
        <v>587</v>
      </c>
      <c r="AD770" s="33" t="str">
        <f t="shared" si="37"/>
        <v>Friday</v>
      </c>
    </row>
    <row r="771" spans="1:30" x14ac:dyDescent="0.2">
      <c r="A771" s="3">
        <v>41231</v>
      </c>
      <c r="B771" s="2" t="s">
        <v>36</v>
      </c>
      <c r="C771" t="s">
        <v>7</v>
      </c>
      <c r="D771" t="s">
        <v>207</v>
      </c>
      <c r="E771" s="2">
        <v>45852</v>
      </c>
      <c r="F771" s="2" cm="1">
        <f t="array" ref="F771">_xlfn.IFS(B771="Owner Surrender",E771,B771="Stray",E771+6,B771="Stray w/identification",E771+11,B771="Bite",E771+10,B771="Other",Blank)</f>
        <v>45852</v>
      </c>
      <c r="G771" s="2">
        <v>45855</v>
      </c>
      <c r="H771" s="5">
        <f t="shared" si="40"/>
        <v>3</v>
      </c>
      <c r="I771" s="5">
        <f t="shared" si="41"/>
        <v>3</v>
      </c>
      <c r="J771" s="2" t="s">
        <v>31</v>
      </c>
      <c r="K771" s="2" t="s">
        <v>587</v>
      </c>
      <c r="L771" s="2" t="s">
        <v>149</v>
      </c>
      <c r="AD771" s="33" t="str">
        <f t="shared" si="37"/>
        <v>Thursday</v>
      </c>
    </row>
    <row r="772" spans="1:30" x14ac:dyDescent="0.2">
      <c r="A772" s="3">
        <v>41236</v>
      </c>
      <c r="B772" s="2" t="s">
        <v>38</v>
      </c>
      <c r="C772" t="s">
        <v>7</v>
      </c>
      <c r="D772" t="s">
        <v>208</v>
      </c>
      <c r="E772" s="2">
        <v>45853</v>
      </c>
      <c r="F772" s="2" cm="1">
        <f t="array" ref="F772">_xlfn.IFS(B772="Owner Surrender",E772,B772="Stray",E772+6,B772="Stray w/identification",E772+11,B772="Bite",E772+10,B772="Other",Blank)</f>
        <v>45859</v>
      </c>
      <c r="G772" s="2">
        <v>45855</v>
      </c>
      <c r="H772" s="5">
        <f t="shared" si="40"/>
        <v>2</v>
      </c>
      <c r="I772" s="5">
        <f t="shared" si="41"/>
        <v>-4</v>
      </c>
      <c r="J772" t="s">
        <v>28</v>
      </c>
      <c r="K772" s="2" t="s">
        <v>586</v>
      </c>
      <c r="M772" t="s">
        <v>30</v>
      </c>
      <c r="AD772" s="33" t="str">
        <f t="shared" ref="AD772:AD835" si="42">TEXT(G772,"DDDD")</f>
        <v>Thursday</v>
      </c>
    </row>
    <row r="773" spans="1:30" x14ac:dyDescent="0.2">
      <c r="A773" s="3">
        <v>41238</v>
      </c>
      <c r="B773" s="2" t="s">
        <v>36</v>
      </c>
      <c r="C773" t="s">
        <v>7</v>
      </c>
      <c r="D773" t="s">
        <v>210</v>
      </c>
      <c r="E773" s="2">
        <v>45853</v>
      </c>
      <c r="F773" s="2" cm="1">
        <f t="array" ref="F773">_xlfn.IFS(B773="Owner Surrender",E773,B773="Stray",E773+6,B773="Stray w/identification",E773+11,B773="Bite",E773+10,B773="Other",Blank)</f>
        <v>45853</v>
      </c>
      <c r="G773" s="2">
        <v>45855</v>
      </c>
      <c r="H773" s="5">
        <f t="shared" si="40"/>
        <v>2</v>
      </c>
      <c r="I773" s="5">
        <f t="shared" si="41"/>
        <v>2</v>
      </c>
      <c r="J773" s="2" t="s">
        <v>31</v>
      </c>
      <c r="K773" s="2" t="s">
        <v>588</v>
      </c>
      <c r="M773" t="s">
        <v>152</v>
      </c>
      <c r="AD773" s="33" t="str">
        <f t="shared" si="42"/>
        <v>Thursday</v>
      </c>
    </row>
    <row r="774" spans="1:30" x14ac:dyDescent="0.2">
      <c r="A774" s="3">
        <v>41239</v>
      </c>
      <c r="B774" s="2" t="s">
        <v>38</v>
      </c>
      <c r="C774" t="s">
        <v>10</v>
      </c>
      <c r="D774" t="s">
        <v>208</v>
      </c>
      <c r="E774" s="2">
        <v>45854</v>
      </c>
      <c r="F774" s="2" cm="1">
        <f t="array" ref="F774">_xlfn.IFS(B774="Owner Surrender",E774,B774="Stray",E774+6,B774="Stray w/identification",E774+11,B774="Bite",E774+10,B774="Other",Blank)</f>
        <v>45860</v>
      </c>
      <c r="G774" s="2">
        <v>45866</v>
      </c>
      <c r="H774" s="5">
        <f t="shared" si="40"/>
        <v>12</v>
      </c>
      <c r="I774" s="5">
        <f t="shared" si="41"/>
        <v>6</v>
      </c>
      <c r="J774" t="s">
        <v>31</v>
      </c>
      <c r="K774" s="2" t="s">
        <v>587</v>
      </c>
      <c r="M774" t="s">
        <v>38</v>
      </c>
      <c r="AD774" s="33" t="str">
        <f t="shared" si="42"/>
        <v>Monday</v>
      </c>
    </row>
    <row r="775" spans="1:30" x14ac:dyDescent="0.2">
      <c r="A775" s="3">
        <v>41240</v>
      </c>
      <c r="B775" s="2" t="s">
        <v>38</v>
      </c>
      <c r="C775" t="s">
        <v>10</v>
      </c>
      <c r="D775" t="s">
        <v>208</v>
      </c>
      <c r="E775" s="2">
        <v>45854</v>
      </c>
      <c r="F775" s="2" cm="1">
        <f t="array" ref="F775">_xlfn.IFS(B775="Owner Surrender",E775,B775="Stray",E775+6,B775="Stray w/identification",E775+11,B775="Bite",E775+10,B775="Other",Blank)</f>
        <v>45860</v>
      </c>
      <c r="G775" s="2">
        <v>45863</v>
      </c>
      <c r="H775" s="5">
        <f t="shared" si="40"/>
        <v>9</v>
      </c>
      <c r="I775" s="5">
        <f t="shared" si="41"/>
        <v>3</v>
      </c>
      <c r="J775" t="s">
        <v>31</v>
      </c>
      <c r="K775" s="2" t="s">
        <v>587</v>
      </c>
      <c r="M775" t="s">
        <v>34</v>
      </c>
      <c r="AD775" s="33" t="str">
        <f t="shared" si="42"/>
        <v>Friday</v>
      </c>
    </row>
    <row r="776" spans="1:30" x14ac:dyDescent="0.2">
      <c r="A776" s="3">
        <v>41241</v>
      </c>
      <c r="B776" s="2" t="s">
        <v>41</v>
      </c>
      <c r="C776" t="s">
        <v>10</v>
      </c>
      <c r="D776" t="s">
        <v>208</v>
      </c>
      <c r="E776" s="2">
        <v>45854</v>
      </c>
      <c r="F776" s="2" cm="1">
        <f t="array" ref="F776">_xlfn.IFS(B776="Owner Surrender",E776,B776="Stray",E776+6,B776="Stray w/identification",E776+11,B776="Bite",E776+10,B776="Other",Blank)</f>
        <v>45864</v>
      </c>
      <c r="G776" s="2">
        <v>45868</v>
      </c>
      <c r="H776" s="5">
        <f t="shared" si="40"/>
        <v>14</v>
      </c>
      <c r="I776" s="5">
        <f t="shared" si="41"/>
        <v>4</v>
      </c>
      <c r="J776" t="s">
        <v>31</v>
      </c>
      <c r="K776" s="2" t="s">
        <v>24</v>
      </c>
      <c r="M776" t="s">
        <v>41</v>
      </c>
      <c r="AD776" s="33" t="str">
        <f t="shared" si="42"/>
        <v>Wednesday</v>
      </c>
    </row>
    <row r="777" spans="1:30" x14ac:dyDescent="0.2">
      <c r="A777" s="3">
        <v>41244</v>
      </c>
      <c r="B777" s="2" t="s">
        <v>38</v>
      </c>
      <c r="C777" t="s">
        <v>7</v>
      </c>
      <c r="D777" t="s">
        <v>208</v>
      </c>
      <c r="E777" s="2">
        <v>45854</v>
      </c>
      <c r="F777" s="2" cm="1">
        <f t="array" ref="F777">_xlfn.IFS(B777="Owner Surrender",E777,B777="Stray",E777+6,B777="Stray w/identification",E777+11,B777="Bite",E777+10,B777="Other",Blank)</f>
        <v>45860</v>
      </c>
      <c r="G777" s="2">
        <v>45855</v>
      </c>
      <c r="H777" s="5">
        <f t="shared" si="40"/>
        <v>1</v>
      </c>
      <c r="I777" s="5">
        <f t="shared" si="41"/>
        <v>-5</v>
      </c>
      <c r="J777" s="2" t="s">
        <v>31</v>
      </c>
      <c r="K777" s="2" t="s">
        <v>143</v>
      </c>
      <c r="M777" t="s">
        <v>46</v>
      </c>
      <c r="AD777" s="33" t="str">
        <f t="shared" si="42"/>
        <v>Thursday</v>
      </c>
    </row>
    <row r="778" spans="1:30" x14ac:dyDescent="0.2">
      <c r="A778" s="3">
        <v>41252</v>
      </c>
      <c r="B778" s="2" t="s">
        <v>38</v>
      </c>
      <c r="C778" t="s">
        <v>7</v>
      </c>
      <c r="D778" t="s">
        <v>207</v>
      </c>
      <c r="E778" s="2">
        <v>45856</v>
      </c>
      <c r="F778" s="2" cm="1">
        <f t="array" ref="F778">_xlfn.IFS(B778="Owner Surrender",E778,B778="Stray",E778+6,B778="Stray w/identification",E778+11,B778="Bite",E778+10,B778="Other",Blank)</f>
        <v>45862</v>
      </c>
      <c r="G778" s="2">
        <v>45866</v>
      </c>
      <c r="H778" s="5">
        <f t="shared" si="40"/>
        <v>10</v>
      </c>
      <c r="I778" s="5">
        <f t="shared" si="41"/>
        <v>4</v>
      </c>
      <c r="J778" t="s">
        <v>31</v>
      </c>
      <c r="K778" s="2" t="s">
        <v>587</v>
      </c>
      <c r="M778" t="s">
        <v>38</v>
      </c>
      <c r="AD778" s="33" t="str">
        <f t="shared" si="42"/>
        <v>Monday</v>
      </c>
    </row>
    <row r="779" spans="1:30" x14ac:dyDescent="0.2">
      <c r="A779" s="3">
        <v>41253</v>
      </c>
      <c r="B779" s="2" t="s">
        <v>38</v>
      </c>
      <c r="C779" t="s">
        <v>7</v>
      </c>
      <c r="D779" t="s">
        <v>208</v>
      </c>
      <c r="E779" s="2">
        <v>45856</v>
      </c>
      <c r="F779" s="2" cm="1">
        <f t="array" ref="F779">_xlfn.IFS(B779="Owner Surrender",E779,B779="Stray",E779+6,B779="Stray w/identification",E779+11,B779="Bite",E779+10,B779="Other",Blank)</f>
        <v>45862</v>
      </c>
      <c r="G779" s="2">
        <v>45866</v>
      </c>
      <c r="H779" s="5">
        <f t="shared" si="40"/>
        <v>10</v>
      </c>
      <c r="I779" s="5">
        <f t="shared" si="41"/>
        <v>4</v>
      </c>
      <c r="J779" t="s">
        <v>31</v>
      </c>
      <c r="K779" s="2" t="s">
        <v>587</v>
      </c>
      <c r="AD779" s="33" t="str">
        <f t="shared" si="42"/>
        <v>Monday</v>
      </c>
    </row>
    <row r="780" spans="1:30" x14ac:dyDescent="0.2">
      <c r="A780" s="3">
        <v>41254</v>
      </c>
      <c r="B780" s="2" t="s">
        <v>38</v>
      </c>
      <c r="C780" t="s">
        <v>7</v>
      </c>
      <c r="D780" t="s">
        <v>208</v>
      </c>
      <c r="E780" s="2">
        <v>45856</v>
      </c>
      <c r="F780" s="2" cm="1">
        <f t="array" ref="F780">_xlfn.IFS(B780="Owner Surrender",E780,B780="Stray",E780+6,B780="Stray w/identification",E780+11,B780="Bite",E780+10,B780="Other",Blank)</f>
        <v>45862</v>
      </c>
      <c r="G780" s="2">
        <v>45863</v>
      </c>
      <c r="H780" s="5">
        <f t="shared" si="40"/>
        <v>7</v>
      </c>
      <c r="I780" s="5">
        <f t="shared" si="41"/>
        <v>1</v>
      </c>
      <c r="J780" t="s">
        <v>31</v>
      </c>
      <c r="K780" s="2" t="s">
        <v>588</v>
      </c>
      <c r="M780" t="s">
        <v>39</v>
      </c>
      <c r="AD780" s="33" t="str">
        <f t="shared" si="42"/>
        <v>Friday</v>
      </c>
    </row>
    <row r="781" spans="1:30" x14ac:dyDescent="0.2">
      <c r="A781" s="3">
        <v>41255</v>
      </c>
      <c r="B781" s="2" t="s">
        <v>38</v>
      </c>
      <c r="C781" t="s">
        <v>7</v>
      </c>
      <c r="D781" t="s">
        <v>208</v>
      </c>
      <c r="E781" s="2">
        <v>45856</v>
      </c>
      <c r="F781" s="2" cm="1">
        <f t="array" ref="F781">_xlfn.IFS(B781="Owner Surrender",E781,B781="Stray",E781+6,B781="Stray w/identification",E781+11,B781="Bite",E781+10,B781="Other",Blank)</f>
        <v>45862</v>
      </c>
      <c r="G781" s="2">
        <v>45866</v>
      </c>
      <c r="H781" s="5">
        <f t="shared" si="40"/>
        <v>10</v>
      </c>
      <c r="I781" s="5">
        <f t="shared" si="41"/>
        <v>4</v>
      </c>
      <c r="J781" t="s">
        <v>31</v>
      </c>
      <c r="K781" s="2" t="s">
        <v>587</v>
      </c>
      <c r="M781" t="s">
        <v>38</v>
      </c>
      <c r="AD781" s="33" t="str">
        <f t="shared" si="42"/>
        <v>Monday</v>
      </c>
    </row>
    <row r="782" spans="1:30" x14ac:dyDescent="0.2">
      <c r="A782" s="3">
        <v>41256</v>
      </c>
      <c r="B782" s="2" t="s">
        <v>38</v>
      </c>
      <c r="C782" t="s">
        <v>7</v>
      </c>
      <c r="D782" t="s">
        <v>208</v>
      </c>
      <c r="E782" s="2">
        <v>45856</v>
      </c>
      <c r="F782" s="2" cm="1">
        <f t="array" ref="F782">_xlfn.IFS(B782="Owner Surrender",E782,B782="Stray",E782+6,B782="Stray w/identification",E782+11,B782="Bite",E782+10,B782="Other",Blank)</f>
        <v>45862</v>
      </c>
      <c r="G782" s="2">
        <v>45868</v>
      </c>
      <c r="H782" s="5">
        <f t="shared" si="40"/>
        <v>12</v>
      </c>
      <c r="I782" s="5">
        <f t="shared" si="41"/>
        <v>6</v>
      </c>
      <c r="J782" t="s">
        <v>31</v>
      </c>
      <c r="K782" s="2" t="s">
        <v>587</v>
      </c>
      <c r="M782" t="s">
        <v>38</v>
      </c>
      <c r="AD782" s="33" t="str">
        <f t="shared" si="42"/>
        <v>Wednesday</v>
      </c>
    </row>
    <row r="783" spans="1:30" x14ac:dyDescent="0.2">
      <c r="A783" s="3">
        <v>41257</v>
      </c>
      <c r="B783" s="2" t="s">
        <v>36</v>
      </c>
      <c r="C783" t="s">
        <v>7</v>
      </c>
      <c r="D783" t="s">
        <v>207</v>
      </c>
      <c r="E783" s="2">
        <v>45856</v>
      </c>
      <c r="F783" s="2" cm="1">
        <f t="array" ref="F783">_xlfn.IFS(B783="Owner Surrender",E783,B783="Stray",E783+6,B783="Stray w/identification",E783+11,B783="Bite",E783+10,B783="Other",Blank)</f>
        <v>45856</v>
      </c>
      <c r="G783" s="2">
        <v>45866</v>
      </c>
      <c r="H783" s="5">
        <f t="shared" si="40"/>
        <v>10</v>
      </c>
      <c r="I783" s="5">
        <f t="shared" si="41"/>
        <v>10</v>
      </c>
      <c r="J783" t="s">
        <v>31</v>
      </c>
      <c r="K783" s="2" t="s">
        <v>587</v>
      </c>
      <c r="M783" t="s">
        <v>36</v>
      </c>
      <c r="AD783" s="33" t="str">
        <f t="shared" si="42"/>
        <v>Monday</v>
      </c>
    </row>
    <row r="784" spans="1:30" x14ac:dyDescent="0.2">
      <c r="A784" s="3">
        <v>41258</v>
      </c>
      <c r="B784" s="2" t="s">
        <v>38</v>
      </c>
      <c r="C784" t="s">
        <v>7</v>
      </c>
      <c r="D784" t="s">
        <v>210</v>
      </c>
      <c r="E784" s="2">
        <v>45857</v>
      </c>
      <c r="F784" s="2" cm="1">
        <f t="array" ref="F784">_xlfn.IFS(B784="Owner Surrender",E784,B784="Stray",E784+6,B784="Stray w/identification",E784+11,B784="Bite",E784+10,B784="Other",Blank)</f>
        <v>45863</v>
      </c>
      <c r="G784" s="2">
        <v>45863</v>
      </c>
      <c r="H784" s="5">
        <f t="shared" si="40"/>
        <v>6</v>
      </c>
      <c r="I784" s="5">
        <f t="shared" si="41"/>
        <v>0</v>
      </c>
      <c r="J784" t="s">
        <v>31</v>
      </c>
      <c r="K784" s="2" t="s">
        <v>587</v>
      </c>
      <c r="M784" t="s">
        <v>38</v>
      </c>
      <c r="AD784" s="33" t="str">
        <f t="shared" si="42"/>
        <v>Friday</v>
      </c>
    </row>
    <row r="785" spans="1:30" x14ac:dyDescent="0.2">
      <c r="A785" s="3">
        <v>41260</v>
      </c>
      <c r="B785" s="2" t="s">
        <v>36</v>
      </c>
      <c r="C785" t="s">
        <v>7</v>
      </c>
      <c r="D785" t="s">
        <v>207</v>
      </c>
      <c r="E785" s="2">
        <v>45859</v>
      </c>
      <c r="F785" s="2" cm="1">
        <f t="array" ref="F785">_xlfn.IFS(B785="Owner Surrender",E785,B785="Stray",E785+6,B785="Stray w/identification",E785+11,B785="Bite",E785+10,B785="Other",Blank)</f>
        <v>45859</v>
      </c>
      <c r="G785" s="2">
        <v>45876</v>
      </c>
      <c r="H785" s="5">
        <f t="shared" si="40"/>
        <v>17</v>
      </c>
      <c r="I785" s="5">
        <f t="shared" si="41"/>
        <v>17</v>
      </c>
      <c r="J785" s="2" t="s">
        <v>31</v>
      </c>
      <c r="K785" s="2" t="s">
        <v>587</v>
      </c>
      <c r="M785" t="s">
        <v>154</v>
      </c>
      <c r="AD785" s="33" t="str">
        <f t="shared" si="42"/>
        <v>Thursday</v>
      </c>
    </row>
    <row r="786" spans="1:30" x14ac:dyDescent="0.2">
      <c r="A786" s="3">
        <v>41262</v>
      </c>
      <c r="B786" s="2" t="s">
        <v>36</v>
      </c>
      <c r="C786" t="s">
        <v>7</v>
      </c>
      <c r="D786" t="s">
        <v>208</v>
      </c>
      <c r="E786" s="2">
        <v>45859</v>
      </c>
      <c r="F786" s="2" cm="1">
        <f t="array" ref="F786">_xlfn.IFS(B786="Owner Surrender",E786,B786="Stray",E786+6,B786="Stray w/identification",E786+11,B786="Bite",E786+10,B786="Other",Blank)</f>
        <v>45859</v>
      </c>
      <c r="J786" t="s">
        <v>21</v>
      </c>
      <c r="K786" s="2" t="s">
        <v>586</v>
      </c>
      <c r="AD786" s="33" t="str">
        <f t="shared" si="42"/>
        <v>Saturday</v>
      </c>
    </row>
    <row r="787" spans="1:30" x14ac:dyDescent="0.2">
      <c r="A787" s="3">
        <v>41264</v>
      </c>
      <c r="B787" s="2" t="s">
        <v>179</v>
      </c>
      <c r="C787" t="s">
        <v>7</v>
      </c>
      <c r="D787" t="s">
        <v>207</v>
      </c>
      <c r="E787" s="2">
        <v>45857</v>
      </c>
      <c r="F787" s="2" cm="1">
        <f t="array" ref="F787">_xlfn.IFS(B787="Owner Surrender",E787,B787="Stray",E787+6,B787="Stray w/identification",E787+11,B787="Bite",E787+10,B787="Other",Blank)</f>
        <v>45868</v>
      </c>
      <c r="G787" s="2">
        <v>45863</v>
      </c>
      <c r="H787" s="5">
        <f>+G787-E787</f>
        <v>6</v>
      </c>
      <c r="I787" s="5">
        <f>G787-F787</f>
        <v>-5</v>
      </c>
      <c r="J787" t="s">
        <v>28</v>
      </c>
      <c r="K787" s="2" t="s">
        <v>586</v>
      </c>
      <c r="M787" t="s">
        <v>30</v>
      </c>
      <c r="AD787" s="33" t="str">
        <f t="shared" si="42"/>
        <v>Friday</v>
      </c>
    </row>
    <row r="788" spans="1:30" x14ac:dyDescent="0.2">
      <c r="A788" s="3">
        <v>41265</v>
      </c>
      <c r="B788" s="2" t="s">
        <v>38</v>
      </c>
      <c r="C788" t="s">
        <v>7</v>
      </c>
      <c r="D788" t="s">
        <v>208</v>
      </c>
      <c r="E788" s="2">
        <v>45858</v>
      </c>
      <c r="F788" s="2" cm="1">
        <f t="array" ref="F788">_xlfn.IFS(B788="Owner Surrender",E788,B788="Stray",E788+6,B788="Stray w/identification",E788+11,B788="Bite",E788+10,B788="Other",Blank)</f>
        <v>45864</v>
      </c>
      <c r="G788" s="2">
        <v>45877</v>
      </c>
      <c r="H788" s="5">
        <f>+G788-E788</f>
        <v>19</v>
      </c>
      <c r="I788" s="5">
        <f>G788-F788</f>
        <v>13</v>
      </c>
      <c r="J788" s="2" t="s">
        <v>31</v>
      </c>
      <c r="K788" s="2" t="s">
        <v>587</v>
      </c>
      <c r="L788" s="2" t="s">
        <v>155</v>
      </c>
      <c r="AD788" s="33" t="str">
        <f t="shared" si="42"/>
        <v>Friday</v>
      </c>
    </row>
    <row r="789" spans="1:30" x14ac:dyDescent="0.2">
      <c r="A789" s="3">
        <v>41266</v>
      </c>
      <c r="B789" s="2" t="s">
        <v>38</v>
      </c>
      <c r="C789" t="s">
        <v>7</v>
      </c>
      <c r="D789" t="s">
        <v>208</v>
      </c>
      <c r="E789" s="2">
        <v>45857</v>
      </c>
      <c r="F789" s="2" cm="1">
        <f t="array" ref="F789">_xlfn.IFS(B789="Owner Surrender",E789,B789="Stray",E789+6,B789="Stray w/identification",E789+11,B789="Bite",E789+10,B789="Other",Blank)</f>
        <v>45863</v>
      </c>
      <c r="G789" s="2">
        <v>45874</v>
      </c>
      <c r="H789" s="5">
        <f>+G789-E789</f>
        <v>17</v>
      </c>
      <c r="I789" s="5">
        <f>G789-F789</f>
        <v>11</v>
      </c>
      <c r="J789" s="2" t="s">
        <v>31</v>
      </c>
      <c r="K789" s="2" t="s">
        <v>587</v>
      </c>
      <c r="AD789" s="33" t="str">
        <f t="shared" si="42"/>
        <v>Tuesday</v>
      </c>
    </row>
    <row r="790" spans="1:30" x14ac:dyDescent="0.2">
      <c r="A790" s="3">
        <v>41267</v>
      </c>
      <c r="B790" s="2" t="s">
        <v>38</v>
      </c>
      <c r="C790" t="s">
        <v>7</v>
      </c>
      <c r="D790" t="s">
        <v>208</v>
      </c>
      <c r="E790" s="2">
        <v>45857</v>
      </c>
      <c r="F790" s="2" cm="1">
        <f t="array" ref="F790">_xlfn.IFS(B790="Owner Surrender",E790,B790="Stray",E790+6,B790="Stray w/identification",E790+11,B790="Bite",E790+10,B790="Other",Blank)</f>
        <v>45863</v>
      </c>
      <c r="G790" s="2">
        <v>45874</v>
      </c>
      <c r="H790" s="5">
        <f>+G790-E790</f>
        <v>17</v>
      </c>
      <c r="I790" s="5">
        <f>G790-F790</f>
        <v>11</v>
      </c>
      <c r="J790" s="2" t="s">
        <v>31</v>
      </c>
      <c r="K790" s="2" t="s">
        <v>587</v>
      </c>
      <c r="AD790" s="33" t="str">
        <f t="shared" si="42"/>
        <v>Tuesday</v>
      </c>
    </row>
    <row r="791" spans="1:30" x14ac:dyDescent="0.2">
      <c r="A791" s="3">
        <v>41270</v>
      </c>
      <c r="B791" s="2" t="s">
        <v>179</v>
      </c>
      <c r="C791" t="s">
        <v>7</v>
      </c>
      <c r="D791" t="s">
        <v>208</v>
      </c>
      <c r="E791" s="2">
        <v>45859</v>
      </c>
      <c r="F791" s="2" cm="1">
        <f t="array" ref="F791">_xlfn.IFS(B791="Owner Surrender",E791,B791="Stray",E791+6,B791="Stray w/identification",E791+11,B791="Bite",E791+10,B791="Other",Blank)</f>
        <v>45870</v>
      </c>
      <c r="J791" t="s">
        <v>21</v>
      </c>
      <c r="K791" s="2" t="s">
        <v>586</v>
      </c>
      <c r="L791" t="s">
        <v>22</v>
      </c>
      <c r="AD791" s="33" t="str">
        <f t="shared" si="42"/>
        <v>Saturday</v>
      </c>
    </row>
    <row r="792" spans="1:30" x14ac:dyDescent="0.2">
      <c r="A792" s="3">
        <v>41271</v>
      </c>
      <c r="B792" s="2" t="s">
        <v>38</v>
      </c>
      <c r="C792" t="s">
        <v>10</v>
      </c>
      <c r="D792" t="s">
        <v>208</v>
      </c>
      <c r="E792" s="2">
        <v>45860</v>
      </c>
      <c r="F792" s="2" cm="1">
        <f t="array" ref="F792">_xlfn.IFS(B792="Owner Surrender",E792,B792="Stray",E792+6,B792="Stray w/identification",E792+11,B792="Bite",E792+10,B792="Other",Blank)</f>
        <v>45866</v>
      </c>
      <c r="G792" s="2">
        <v>45882</v>
      </c>
      <c r="H792" s="5">
        <f t="shared" ref="H792:H809" si="43">+G792-E792</f>
        <v>22</v>
      </c>
      <c r="I792" s="5">
        <f t="shared" ref="I792:I797" si="44">G792-F792</f>
        <v>16</v>
      </c>
      <c r="J792" s="2" t="s">
        <v>31</v>
      </c>
      <c r="K792" s="2" t="s">
        <v>587</v>
      </c>
      <c r="L792" s="2" t="s">
        <v>156</v>
      </c>
      <c r="AD792" s="33" t="str">
        <f t="shared" si="42"/>
        <v>Wednesday</v>
      </c>
    </row>
    <row r="793" spans="1:30" x14ac:dyDescent="0.2">
      <c r="A793" s="3">
        <v>41274</v>
      </c>
      <c r="B793" s="2" t="s">
        <v>38</v>
      </c>
      <c r="C793" t="s">
        <v>7</v>
      </c>
      <c r="D793" t="s">
        <v>207</v>
      </c>
      <c r="E793" s="2">
        <v>45859</v>
      </c>
      <c r="F793" s="2" cm="1">
        <f t="array" ref="F793">_xlfn.IFS(B793="Owner Surrender",E793,B793="Stray",E793+6,B793="Stray w/identification",E793+11,B793="Bite",E793+10,B793="Other",Blank)</f>
        <v>45865</v>
      </c>
      <c r="G793" s="2">
        <v>45874</v>
      </c>
      <c r="H793" s="5">
        <f t="shared" si="43"/>
        <v>15</v>
      </c>
      <c r="I793" s="5">
        <f t="shared" si="44"/>
        <v>9</v>
      </c>
      <c r="J793" s="2" t="s">
        <v>31</v>
      </c>
      <c r="K793" s="2" t="s">
        <v>587</v>
      </c>
      <c r="AD793" s="33" t="str">
        <f t="shared" si="42"/>
        <v>Tuesday</v>
      </c>
    </row>
    <row r="794" spans="1:30" x14ac:dyDescent="0.2">
      <c r="A794" s="3">
        <v>41275</v>
      </c>
      <c r="B794" s="2" t="s">
        <v>38</v>
      </c>
      <c r="C794" t="s">
        <v>7</v>
      </c>
      <c r="D794" t="s">
        <v>208</v>
      </c>
      <c r="E794" s="2">
        <v>45859</v>
      </c>
      <c r="F794" s="2" cm="1">
        <f t="array" ref="F794">_xlfn.IFS(B794="Owner Surrender",E794,B794="Stray",E794+6,B794="Stray w/identification",E794+11,B794="Bite",E794+10,B794="Other",Blank)</f>
        <v>45865</v>
      </c>
      <c r="G794" s="2">
        <v>45877</v>
      </c>
      <c r="H794" s="5">
        <f t="shared" si="43"/>
        <v>18</v>
      </c>
      <c r="I794" s="5">
        <f t="shared" si="44"/>
        <v>12</v>
      </c>
      <c r="J794" s="2" t="s">
        <v>11</v>
      </c>
      <c r="K794" s="2" t="s">
        <v>586</v>
      </c>
      <c r="L794" t="s">
        <v>183</v>
      </c>
      <c r="AD794" s="33" t="str">
        <f t="shared" si="42"/>
        <v>Friday</v>
      </c>
    </row>
    <row r="795" spans="1:30" x14ac:dyDescent="0.2">
      <c r="A795" s="3">
        <v>41276</v>
      </c>
      <c r="B795" s="2" t="s">
        <v>38</v>
      </c>
      <c r="C795" t="s">
        <v>7</v>
      </c>
      <c r="D795" t="s">
        <v>208</v>
      </c>
      <c r="E795" s="2">
        <v>45859</v>
      </c>
      <c r="F795" s="2" cm="1">
        <f t="array" ref="F795">_xlfn.IFS(B795="Owner Surrender",E795,B795="Stray",E795+6,B795="Stray w/identification",E795+11,B795="Bite",E795+10,B795="Other",Blank)</f>
        <v>45865</v>
      </c>
      <c r="G795" s="2">
        <v>45885</v>
      </c>
      <c r="H795" s="5">
        <f t="shared" si="43"/>
        <v>26</v>
      </c>
      <c r="I795" s="5">
        <f t="shared" si="44"/>
        <v>20</v>
      </c>
      <c r="J795" t="s">
        <v>18</v>
      </c>
      <c r="K795" s="2" t="s">
        <v>586</v>
      </c>
      <c r="L795" t="s">
        <v>184</v>
      </c>
      <c r="M795" t="s">
        <v>19</v>
      </c>
      <c r="AD795" s="33" t="str">
        <f t="shared" si="42"/>
        <v>Saturday</v>
      </c>
    </row>
    <row r="796" spans="1:30" x14ac:dyDescent="0.2">
      <c r="A796" s="3">
        <v>41278</v>
      </c>
      <c r="B796" s="2" t="s">
        <v>36</v>
      </c>
      <c r="C796" t="s">
        <v>7</v>
      </c>
      <c r="D796" t="s">
        <v>207</v>
      </c>
      <c r="E796" s="2">
        <v>45860</v>
      </c>
      <c r="F796" s="2" cm="1">
        <f t="array" ref="F796">_xlfn.IFS(B796="Owner Surrender",E796,B796="Stray",E796+6,B796="Stray w/identification",E796+11,B796="Bite",E796+10,B796="Other",Blank)</f>
        <v>45860</v>
      </c>
      <c r="G796" s="2">
        <v>45861</v>
      </c>
      <c r="H796" s="5">
        <f t="shared" si="43"/>
        <v>1</v>
      </c>
      <c r="I796" s="5">
        <f t="shared" si="44"/>
        <v>1</v>
      </c>
      <c r="J796" s="2" t="s">
        <v>31</v>
      </c>
      <c r="K796" s="2" t="s">
        <v>587</v>
      </c>
      <c r="L796" s="2" t="s">
        <v>157</v>
      </c>
      <c r="AD796" s="33" t="str">
        <f t="shared" si="42"/>
        <v>Wednesday</v>
      </c>
    </row>
    <row r="797" spans="1:30" x14ac:dyDescent="0.2">
      <c r="A797" s="3">
        <v>41279</v>
      </c>
      <c r="B797" s="2" t="s">
        <v>36</v>
      </c>
      <c r="C797" t="s">
        <v>7</v>
      </c>
      <c r="D797" t="s">
        <v>207</v>
      </c>
      <c r="E797" s="2">
        <v>45860</v>
      </c>
      <c r="F797" s="2" cm="1">
        <f t="array" ref="F797">_xlfn.IFS(B797="Owner Surrender",E797,B797="Stray",E797+6,B797="Stray w/identification",E797+11,B797="Bite",E797+10,B797="Other",Blank)</f>
        <v>45860</v>
      </c>
      <c r="G797" s="2">
        <v>45861</v>
      </c>
      <c r="H797" s="5">
        <f t="shared" si="43"/>
        <v>1</v>
      </c>
      <c r="I797" s="5">
        <f t="shared" si="44"/>
        <v>1</v>
      </c>
      <c r="J797" s="2" t="s">
        <v>31</v>
      </c>
      <c r="K797" s="2" t="s">
        <v>587</v>
      </c>
      <c r="L797" s="2" t="s">
        <v>158</v>
      </c>
      <c r="AD797" s="33" t="str">
        <f t="shared" si="42"/>
        <v>Wednesday</v>
      </c>
    </row>
    <row r="798" spans="1:30" x14ac:dyDescent="0.2">
      <c r="A798" s="3">
        <v>41283</v>
      </c>
      <c r="B798" s="2" t="s">
        <v>60</v>
      </c>
      <c r="C798" t="s">
        <v>10</v>
      </c>
      <c r="D798" t="s">
        <v>207</v>
      </c>
      <c r="E798" s="2">
        <v>45860</v>
      </c>
      <c r="F798" s="2" t="e" cm="1">
        <f t="array" ref="F798">_xlfn.IFS(B798="Owner Surrender",E798,B798="Stray",E798+6,B798="Stray w/identification",E798+11,B798="Bite",E798+10,B798="Other",Blank)</f>
        <v>#NAME?</v>
      </c>
      <c r="G798" s="2">
        <v>45878</v>
      </c>
      <c r="H798" s="5">
        <f t="shared" si="43"/>
        <v>18</v>
      </c>
      <c r="J798" t="s">
        <v>8</v>
      </c>
      <c r="K798" s="2" t="s">
        <v>586</v>
      </c>
      <c r="AD798" s="33" t="str">
        <f t="shared" si="42"/>
        <v>Saturday</v>
      </c>
    </row>
    <row r="799" spans="1:30" x14ac:dyDescent="0.2">
      <c r="A799" s="3">
        <v>41305</v>
      </c>
      <c r="B799" s="2" t="s">
        <v>38</v>
      </c>
      <c r="C799" t="s">
        <v>7</v>
      </c>
      <c r="D799" t="s">
        <v>208</v>
      </c>
      <c r="E799" s="2">
        <v>45861</v>
      </c>
      <c r="F799" s="2" cm="1">
        <f t="array" ref="F799">_xlfn.IFS(B799="Owner Surrender",E799,B799="Stray",E799+6,B799="Stray w/identification",E799+11,B799="Bite",E799+10,B799="Other",Blank)</f>
        <v>45867</v>
      </c>
      <c r="G799" s="2">
        <v>45868</v>
      </c>
      <c r="H799" s="5">
        <f t="shared" si="43"/>
        <v>7</v>
      </c>
      <c r="I799" s="5">
        <f t="shared" ref="I799:I807" si="45">G799-F799</f>
        <v>1</v>
      </c>
      <c r="J799" t="s">
        <v>31</v>
      </c>
      <c r="K799" s="2" t="s">
        <v>587</v>
      </c>
      <c r="M799" t="s">
        <v>38</v>
      </c>
      <c r="AD799" s="33" t="str">
        <f t="shared" si="42"/>
        <v>Wednesday</v>
      </c>
    </row>
    <row r="800" spans="1:30" x14ac:dyDescent="0.2">
      <c r="A800" s="3">
        <v>41310</v>
      </c>
      <c r="B800" s="2" t="s">
        <v>41</v>
      </c>
      <c r="C800" t="s">
        <v>7</v>
      </c>
      <c r="D800" t="s">
        <v>207</v>
      </c>
      <c r="E800" s="2">
        <v>45862</v>
      </c>
      <c r="F800" s="2" cm="1">
        <f t="array" ref="F800">_xlfn.IFS(B800="Owner Surrender",E800,B800="Stray",E800+6,B800="Stray w/identification",E800+11,B800="Bite",E800+10,B800="Other",Blank)</f>
        <v>45872</v>
      </c>
      <c r="G800" s="2">
        <v>45876</v>
      </c>
      <c r="H800" s="5">
        <f t="shared" si="43"/>
        <v>14</v>
      </c>
      <c r="I800" s="5">
        <f t="shared" si="45"/>
        <v>4</v>
      </c>
      <c r="J800" s="2" t="s">
        <v>31</v>
      </c>
      <c r="K800" s="2" t="s">
        <v>587</v>
      </c>
      <c r="L800" s="2" t="s">
        <v>163</v>
      </c>
      <c r="AD800" s="33" t="str">
        <f t="shared" si="42"/>
        <v>Thursday</v>
      </c>
    </row>
    <row r="801" spans="1:30" x14ac:dyDescent="0.2">
      <c r="A801" s="3">
        <v>41311</v>
      </c>
      <c r="B801" s="2" t="s">
        <v>38</v>
      </c>
      <c r="C801" t="s">
        <v>7</v>
      </c>
      <c r="D801" t="s">
        <v>208</v>
      </c>
      <c r="E801" s="2">
        <v>45862</v>
      </c>
      <c r="F801" s="2" cm="1">
        <f t="array" ref="F801">_xlfn.IFS(B801="Owner Surrender",E801,B801="Stray",E801+6,B801="Stray w/identification",E801+11,B801="Bite",E801+10,B801="Other",Blank)</f>
        <v>45868</v>
      </c>
      <c r="G801" s="2">
        <v>45869</v>
      </c>
      <c r="H801" s="5">
        <f t="shared" si="43"/>
        <v>7</v>
      </c>
      <c r="I801" s="5">
        <f t="shared" si="45"/>
        <v>1</v>
      </c>
      <c r="J801" t="s">
        <v>18</v>
      </c>
      <c r="K801" s="2" t="s">
        <v>586</v>
      </c>
      <c r="M801" t="s">
        <v>19</v>
      </c>
      <c r="AD801" s="33" t="str">
        <f t="shared" si="42"/>
        <v>Thursday</v>
      </c>
    </row>
    <row r="802" spans="1:30" x14ac:dyDescent="0.2">
      <c r="A802" s="3">
        <v>41312</v>
      </c>
      <c r="B802" s="2" t="s">
        <v>38</v>
      </c>
      <c r="C802" t="s">
        <v>7</v>
      </c>
      <c r="D802" t="s">
        <v>208</v>
      </c>
      <c r="E802" s="2">
        <v>45862</v>
      </c>
      <c r="F802" s="2" cm="1">
        <f t="array" ref="F802">_xlfn.IFS(B802="Owner Surrender",E802,B802="Stray",E802+6,B802="Stray w/identification",E802+11,B802="Bite",E802+10,B802="Other",Blank)</f>
        <v>45868</v>
      </c>
      <c r="G802" s="2">
        <v>45869</v>
      </c>
      <c r="H802" s="5">
        <f t="shared" si="43"/>
        <v>7</v>
      </c>
      <c r="I802" s="5">
        <f t="shared" si="45"/>
        <v>1</v>
      </c>
      <c r="J802" t="s">
        <v>18</v>
      </c>
      <c r="K802" s="2" t="s">
        <v>586</v>
      </c>
      <c r="M802" t="s">
        <v>19</v>
      </c>
      <c r="AD802" s="33" t="str">
        <f t="shared" si="42"/>
        <v>Thursday</v>
      </c>
    </row>
    <row r="803" spans="1:30" x14ac:dyDescent="0.2">
      <c r="A803" s="3">
        <v>41313</v>
      </c>
      <c r="B803" s="2" t="s">
        <v>38</v>
      </c>
      <c r="C803" t="s">
        <v>7</v>
      </c>
      <c r="D803" t="s">
        <v>208</v>
      </c>
      <c r="E803" s="2">
        <v>45862</v>
      </c>
      <c r="F803" s="2" cm="1">
        <f t="array" ref="F803">_xlfn.IFS(B803="Owner Surrender",E803,B803="Stray",E803+6,B803="Stray w/identification",E803+11,B803="Bite",E803+10,B803="Other",Blank)</f>
        <v>45868</v>
      </c>
      <c r="G803" s="2">
        <v>45869</v>
      </c>
      <c r="H803" s="5">
        <f t="shared" si="43"/>
        <v>7</v>
      </c>
      <c r="I803" s="5">
        <f t="shared" si="45"/>
        <v>1</v>
      </c>
      <c r="J803" t="s">
        <v>18</v>
      </c>
      <c r="K803" s="2" t="s">
        <v>586</v>
      </c>
      <c r="M803" t="s">
        <v>19</v>
      </c>
      <c r="AD803" s="33" t="str">
        <f t="shared" si="42"/>
        <v>Thursday</v>
      </c>
    </row>
    <row r="804" spans="1:30" x14ac:dyDescent="0.2">
      <c r="A804" s="3">
        <v>41314</v>
      </c>
      <c r="B804" s="2" t="s">
        <v>38</v>
      </c>
      <c r="C804" t="s">
        <v>7</v>
      </c>
      <c r="D804" t="s">
        <v>208</v>
      </c>
      <c r="E804" s="2">
        <v>45862</v>
      </c>
      <c r="F804" s="2" cm="1">
        <f t="array" ref="F804">_xlfn.IFS(B804="Owner Surrender",E804,B804="Stray",E804+6,B804="Stray w/identification",E804+11,B804="Bite",E804+10,B804="Other",Blank)</f>
        <v>45868</v>
      </c>
      <c r="G804" s="2">
        <v>45869</v>
      </c>
      <c r="H804" s="5">
        <f t="shared" si="43"/>
        <v>7</v>
      </c>
      <c r="I804" s="5">
        <f t="shared" si="45"/>
        <v>1</v>
      </c>
      <c r="J804" t="s">
        <v>18</v>
      </c>
      <c r="K804" s="2" t="s">
        <v>586</v>
      </c>
      <c r="M804" t="s">
        <v>19</v>
      </c>
      <c r="AD804" s="33" t="str">
        <f t="shared" si="42"/>
        <v>Thursday</v>
      </c>
    </row>
    <row r="805" spans="1:30" x14ac:dyDescent="0.2">
      <c r="A805" s="3">
        <v>41315</v>
      </c>
      <c r="B805" s="2" t="s">
        <v>38</v>
      </c>
      <c r="C805" t="s">
        <v>7</v>
      </c>
      <c r="D805" t="s">
        <v>208</v>
      </c>
      <c r="E805" s="2">
        <v>45862</v>
      </c>
      <c r="F805" s="2" cm="1">
        <f t="array" ref="F805">_xlfn.IFS(B805="Owner Surrender",E805,B805="Stray",E805+6,B805="Stray w/identification",E805+11,B805="Bite",E805+10,B805="Other",Blank)</f>
        <v>45868</v>
      </c>
      <c r="G805" s="2">
        <v>45869</v>
      </c>
      <c r="H805" s="5">
        <f t="shared" si="43"/>
        <v>7</v>
      </c>
      <c r="I805" s="5">
        <f t="shared" si="45"/>
        <v>1</v>
      </c>
      <c r="J805" t="s">
        <v>18</v>
      </c>
      <c r="K805" s="2" t="s">
        <v>586</v>
      </c>
      <c r="M805" t="s">
        <v>19</v>
      </c>
      <c r="AD805" s="33" t="str">
        <f t="shared" si="42"/>
        <v>Thursday</v>
      </c>
    </row>
    <row r="806" spans="1:30" x14ac:dyDescent="0.2">
      <c r="A806" s="3">
        <v>41317</v>
      </c>
      <c r="B806" s="2" t="s">
        <v>36</v>
      </c>
      <c r="C806" t="s">
        <v>7</v>
      </c>
      <c r="D806" t="s">
        <v>207</v>
      </c>
      <c r="E806" s="2">
        <v>45862</v>
      </c>
      <c r="F806" s="2" cm="1">
        <f t="array" ref="F806">_xlfn.IFS(B806="Owner Surrender",E806,B806="Stray",E806+6,B806="Stray w/identification",E806+11,B806="Bite",E806+10,B806="Other",Blank)</f>
        <v>45862</v>
      </c>
      <c r="G806" s="2">
        <v>45881</v>
      </c>
      <c r="H806" s="5">
        <f t="shared" si="43"/>
        <v>19</v>
      </c>
      <c r="I806" s="5">
        <f t="shared" si="45"/>
        <v>19</v>
      </c>
      <c r="J806" s="2" t="s">
        <v>31</v>
      </c>
      <c r="K806" s="2" t="s">
        <v>587</v>
      </c>
      <c r="AD806" s="33" t="str">
        <f t="shared" si="42"/>
        <v>Tuesday</v>
      </c>
    </row>
    <row r="807" spans="1:30" x14ac:dyDescent="0.2">
      <c r="A807" s="3">
        <v>41319</v>
      </c>
      <c r="B807" s="2" t="s">
        <v>38</v>
      </c>
      <c r="C807" t="s">
        <v>7</v>
      </c>
      <c r="D807" t="s">
        <v>208</v>
      </c>
      <c r="E807" s="2">
        <v>45863</v>
      </c>
      <c r="F807" s="2" cm="1">
        <f t="array" ref="F807">_xlfn.IFS(B807="Owner Surrender",E807,B807="Stray",E807+6,B807="Stray w/identification",E807+11,B807="Bite",E807+10,B807="Other",Blank)</f>
        <v>45869</v>
      </c>
      <c r="G807" s="2">
        <v>45874</v>
      </c>
      <c r="H807" s="5">
        <f t="shared" si="43"/>
        <v>11</v>
      </c>
      <c r="I807" s="5">
        <f t="shared" si="45"/>
        <v>5</v>
      </c>
      <c r="J807" s="2" t="s">
        <v>31</v>
      </c>
      <c r="K807" s="2" t="s">
        <v>587</v>
      </c>
      <c r="AD807" s="33" t="str">
        <f t="shared" si="42"/>
        <v>Tuesday</v>
      </c>
    </row>
    <row r="808" spans="1:30" x14ac:dyDescent="0.2">
      <c r="A808" s="3">
        <v>41322</v>
      </c>
      <c r="B808" s="2" t="s">
        <v>60</v>
      </c>
      <c r="C808" t="s">
        <v>7</v>
      </c>
      <c r="D808" t="s">
        <v>207</v>
      </c>
      <c r="E808" s="2">
        <v>45863</v>
      </c>
      <c r="F808" s="2" t="e" cm="1">
        <f t="array" ref="F808">_xlfn.IFS(B808="Owner Surrender",E808,B808="Stray",E808+6,B808="Stray w/identification",E808+11,B808="Bite",E808+10,B808="Other",Blank)</f>
        <v>#NAME?</v>
      </c>
      <c r="G808" s="2">
        <v>45878</v>
      </c>
      <c r="H808" s="5">
        <f t="shared" si="43"/>
        <v>15</v>
      </c>
      <c r="J808" t="s">
        <v>8</v>
      </c>
      <c r="K808" s="2" t="s">
        <v>586</v>
      </c>
      <c r="M808" t="s">
        <v>9</v>
      </c>
      <c r="AD808" s="33" t="str">
        <f t="shared" si="42"/>
        <v>Saturday</v>
      </c>
    </row>
    <row r="809" spans="1:30" x14ac:dyDescent="0.2">
      <c r="A809" s="27">
        <v>41323</v>
      </c>
      <c r="B809" s="2" t="s">
        <v>60</v>
      </c>
      <c r="C809" t="s">
        <v>7</v>
      </c>
      <c r="D809" t="s">
        <v>207</v>
      </c>
      <c r="E809" s="2">
        <v>45863</v>
      </c>
      <c r="F809" s="2" t="e" cm="1">
        <f t="array" ref="F809">_xlfn.IFS(B809="Owner Surrender",E809,B809="Stray",E809+6,B809="Stray w/identification",E809+11,B809="Bite",E809+10,B809="Other",Blank)</f>
        <v>#NAME?</v>
      </c>
      <c r="G809" s="2">
        <v>45878</v>
      </c>
      <c r="H809" s="5">
        <f t="shared" si="43"/>
        <v>15</v>
      </c>
      <c r="J809" t="s">
        <v>8</v>
      </c>
      <c r="K809" s="2" t="s">
        <v>586</v>
      </c>
      <c r="M809" t="s">
        <v>9</v>
      </c>
      <c r="AD809" s="33" t="str">
        <f t="shared" si="42"/>
        <v>Saturday</v>
      </c>
    </row>
    <row r="810" spans="1:30" x14ac:dyDescent="0.2">
      <c r="A810" s="3">
        <v>41324</v>
      </c>
      <c r="B810" s="2" t="s">
        <v>36</v>
      </c>
      <c r="C810" t="s">
        <v>7</v>
      </c>
      <c r="D810" t="s">
        <v>208</v>
      </c>
      <c r="E810" s="2">
        <v>45864</v>
      </c>
      <c r="F810" s="2" cm="1">
        <f t="array" ref="F810">_xlfn.IFS(B810="Owner Surrender",E810,B810="Stray",E810+6,B810="Stray w/identification",E810+11,B810="Bite",E810+10,B810="Other",Blank)</f>
        <v>45864</v>
      </c>
      <c r="J810" t="s">
        <v>21</v>
      </c>
      <c r="K810" s="2" t="s">
        <v>586</v>
      </c>
      <c r="L810" t="s">
        <v>25</v>
      </c>
      <c r="AD810" s="33" t="str">
        <f t="shared" si="42"/>
        <v>Saturday</v>
      </c>
    </row>
    <row r="811" spans="1:30" x14ac:dyDescent="0.2">
      <c r="A811" s="3">
        <v>41325</v>
      </c>
      <c r="B811" s="2" t="s">
        <v>36</v>
      </c>
      <c r="C811" t="s">
        <v>7</v>
      </c>
      <c r="D811" t="s">
        <v>208</v>
      </c>
      <c r="E811" s="2">
        <v>45864</v>
      </c>
      <c r="F811" s="2" cm="1">
        <f t="array" ref="F811">_xlfn.IFS(B811="Owner Surrender",E811,B811="Stray",E811+6,B811="Stray w/identification",E811+11,B811="Bite",E811+10,B811="Other",Blank)</f>
        <v>45864</v>
      </c>
      <c r="J811" s="2" t="s">
        <v>21</v>
      </c>
      <c r="K811" s="2" t="s">
        <v>586</v>
      </c>
      <c r="L811" s="2" t="s">
        <v>105</v>
      </c>
      <c r="AD811" s="33" t="str">
        <f t="shared" si="42"/>
        <v>Saturday</v>
      </c>
    </row>
    <row r="812" spans="1:30" x14ac:dyDescent="0.2">
      <c r="A812" s="3">
        <v>41327</v>
      </c>
      <c r="B812" s="2" t="s">
        <v>38</v>
      </c>
      <c r="C812" t="s">
        <v>7</v>
      </c>
      <c r="D812" t="s">
        <v>208</v>
      </c>
      <c r="E812" s="2">
        <v>45864</v>
      </c>
      <c r="F812" s="2" cm="1">
        <f t="array" ref="F812">_xlfn.IFS(B812="Owner Surrender",E812,B812="Stray",E812+6,B812="Stray w/identification",E812+11,B812="Bite",E812+10,B812="Other",Blank)</f>
        <v>45870</v>
      </c>
      <c r="G812" s="2">
        <v>45865</v>
      </c>
      <c r="H812" s="5">
        <f t="shared" ref="H812:H843" si="46">+G812-E812</f>
        <v>1</v>
      </c>
      <c r="I812" s="5">
        <f t="shared" ref="I812:I843" si="47">G812-F812</f>
        <v>-5</v>
      </c>
      <c r="J812" t="s">
        <v>31</v>
      </c>
      <c r="K812" s="2" t="s">
        <v>588</v>
      </c>
      <c r="M812" t="s">
        <v>33</v>
      </c>
      <c r="AD812" s="33" t="str">
        <f t="shared" si="42"/>
        <v>Sunday</v>
      </c>
    </row>
    <row r="813" spans="1:30" x14ac:dyDescent="0.2">
      <c r="A813" s="3">
        <v>41328</v>
      </c>
      <c r="B813" s="2" t="s">
        <v>38</v>
      </c>
      <c r="C813" t="s">
        <v>10</v>
      </c>
      <c r="D813" t="s">
        <v>208</v>
      </c>
      <c r="E813" s="2">
        <v>45864</v>
      </c>
      <c r="F813" s="2" cm="1">
        <f t="array" ref="F813">_xlfn.IFS(B813="Owner Surrender",E813,B813="Stray",E813+6,B813="Stray w/identification",E813+11,B813="Bite",E813+10,B813="Other",Blank)</f>
        <v>45870</v>
      </c>
      <c r="G813" s="2">
        <v>45882</v>
      </c>
      <c r="H813" s="5">
        <f t="shared" si="46"/>
        <v>18</v>
      </c>
      <c r="I813" s="5">
        <f t="shared" si="47"/>
        <v>12</v>
      </c>
      <c r="J813" s="2" t="s">
        <v>11</v>
      </c>
      <c r="K813" s="2" t="s">
        <v>586</v>
      </c>
      <c r="AD813" s="33" t="str">
        <f t="shared" si="42"/>
        <v>Wednesday</v>
      </c>
    </row>
    <row r="814" spans="1:30" x14ac:dyDescent="0.2">
      <c r="A814" s="3">
        <v>41336</v>
      </c>
      <c r="B814" s="2" t="s">
        <v>36</v>
      </c>
      <c r="C814" t="s">
        <v>44</v>
      </c>
      <c r="D814" t="s">
        <v>207</v>
      </c>
      <c r="E814" s="2">
        <v>45866</v>
      </c>
      <c r="F814" s="2" cm="1">
        <f t="array" ref="F814">_xlfn.IFS(B814="Owner Surrender",E814,B814="Stray",E814+6,B814="Stray w/identification",E814+11,B814="Bite",E814+10,B814="Other",Blank)</f>
        <v>45866</v>
      </c>
      <c r="G814" s="2">
        <v>45866</v>
      </c>
      <c r="H814" s="5">
        <f t="shared" si="46"/>
        <v>0</v>
      </c>
      <c r="I814" s="5">
        <f t="shared" si="47"/>
        <v>0</v>
      </c>
      <c r="J814" s="2" t="s">
        <v>31</v>
      </c>
      <c r="K814" s="2" t="s">
        <v>589</v>
      </c>
      <c r="M814" t="s">
        <v>45</v>
      </c>
      <c r="AD814" s="33" t="str">
        <f t="shared" si="42"/>
        <v>Monday</v>
      </c>
    </row>
    <row r="815" spans="1:30" x14ac:dyDescent="0.2">
      <c r="A815" s="3">
        <v>41337</v>
      </c>
      <c r="B815" s="2" t="s">
        <v>38</v>
      </c>
      <c r="C815" t="s">
        <v>7</v>
      </c>
      <c r="D815" t="s">
        <v>208</v>
      </c>
      <c r="E815" s="2">
        <v>45866</v>
      </c>
      <c r="F815" s="2" cm="1">
        <f t="array" ref="F815">_xlfn.IFS(B815="Owner Surrender",E815,B815="Stray",E815+6,B815="Stray w/identification",E815+11,B815="Bite",E815+10,B815="Other",Blank)</f>
        <v>45872</v>
      </c>
      <c r="G815" s="2">
        <v>45866</v>
      </c>
      <c r="H815" s="5">
        <f t="shared" si="46"/>
        <v>0</v>
      </c>
      <c r="I815" s="5">
        <f t="shared" si="47"/>
        <v>-6</v>
      </c>
      <c r="J815" s="2" t="s">
        <v>31</v>
      </c>
      <c r="K815" s="2" t="s">
        <v>588</v>
      </c>
      <c r="M815" t="s">
        <v>166</v>
      </c>
      <c r="AD815" s="33" t="str">
        <f t="shared" si="42"/>
        <v>Monday</v>
      </c>
    </row>
    <row r="816" spans="1:30" x14ac:dyDescent="0.2">
      <c r="A816" s="3">
        <v>41340</v>
      </c>
      <c r="B816" s="2" t="s">
        <v>38</v>
      </c>
      <c r="C816" t="s">
        <v>7</v>
      </c>
      <c r="D816" t="s">
        <v>208</v>
      </c>
      <c r="E816" s="2">
        <v>45866</v>
      </c>
      <c r="F816" s="2" cm="1">
        <f t="array" ref="F816">_xlfn.IFS(B816="Owner Surrender",E816,B816="Stray",E816+6,B816="Stray w/identification",E816+11,B816="Bite",E816+10,B816="Other",Blank)</f>
        <v>45872</v>
      </c>
      <c r="G816" s="2">
        <v>45874</v>
      </c>
      <c r="H816" s="5">
        <f t="shared" si="46"/>
        <v>8</v>
      </c>
      <c r="I816" s="5">
        <f t="shared" si="47"/>
        <v>2</v>
      </c>
      <c r="J816" s="2" t="s">
        <v>31</v>
      </c>
      <c r="K816" s="2" t="s">
        <v>587</v>
      </c>
      <c r="M816" t="s">
        <v>34</v>
      </c>
      <c r="AD816" s="33" t="str">
        <f t="shared" si="42"/>
        <v>Tuesday</v>
      </c>
    </row>
    <row r="817" spans="1:30" x14ac:dyDescent="0.2">
      <c r="A817" s="3">
        <v>41341</v>
      </c>
      <c r="B817" s="2" t="s">
        <v>38</v>
      </c>
      <c r="C817" t="s">
        <v>7</v>
      </c>
      <c r="D817" t="s">
        <v>208</v>
      </c>
      <c r="E817" s="2">
        <v>45866</v>
      </c>
      <c r="F817" s="2" cm="1">
        <f t="array" ref="F817">_xlfn.IFS(B817="Owner Surrender",E817,B817="Stray",E817+6,B817="Stray w/identification",E817+11,B817="Bite",E817+10,B817="Other",Blank)</f>
        <v>45872</v>
      </c>
      <c r="G817" s="2">
        <v>45874</v>
      </c>
      <c r="H817" s="5">
        <f t="shared" si="46"/>
        <v>8</v>
      </c>
      <c r="I817" s="5">
        <f t="shared" si="47"/>
        <v>2</v>
      </c>
      <c r="J817" s="2" t="s">
        <v>31</v>
      </c>
      <c r="K817" s="2" t="s">
        <v>587</v>
      </c>
      <c r="M817" t="s">
        <v>34</v>
      </c>
      <c r="AD817" s="33" t="str">
        <f t="shared" si="42"/>
        <v>Tuesday</v>
      </c>
    </row>
    <row r="818" spans="1:30" x14ac:dyDescent="0.2">
      <c r="A818" s="3">
        <v>41344</v>
      </c>
      <c r="B818" s="2" t="s">
        <v>38</v>
      </c>
      <c r="C818" t="s">
        <v>10</v>
      </c>
      <c r="D818" t="s">
        <v>208</v>
      </c>
      <c r="E818" s="2">
        <v>45866</v>
      </c>
      <c r="F818" s="2" cm="1">
        <f t="array" ref="F818">_xlfn.IFS(B818="Owner Surrender",E818,B818="Stray",E818+6,B818="Stray w/identification",E818+11,B818="Bite",E818+10,B818="Other",Blank)</f>
        <v>45872</v>
      </c>
      <c r="G818" s="2">
        <v>45874</v>
      </c>
      <c r="H818" s="5">
        <f t="shared" si="46"/>
        <v>8</v>
      </c>
      <c r="I818" s="5">
        <f t="shared" si="47"/>
        <v>2</v>
      </c>
      <c r="J818" s="2" t="s">
        <v>31</v>
      </c>
      <c r="K818" s="2" t="s">
        <v>587</v>
      </c>
      <c r="AD818" s="33" t="str">
        <f t="shared" si="42"/>
        <v>Tuesday</v>
      </c>
    </row>
    <row r="819" spans="1:30" x14ac:dyDescent="0.2">
      <c r="A819" s="3">
        <v>41349</v>
      </c>
      <c r="B819" s="2" t="s">
        <v>36</v>
      </c>
      <c r="C819" t="s">
        <v>7</v>
      </c>
      <c r="D819" t="s">
        <v>207</v>
      </c>
      <c r="E819" s="2">
        <v>45867</v>
      </c>
      <c r="F819" s="2" cm="1">
        <f t="array" ref="F819">_xlfn.IFS(B819="Owner Surrender",E819,B819="Stray",E819+6,B819="Stray w/identification",E819+11,B819="Bite",E819+10,B819="Other",Blank)</f>
        <v>45867</v>
      </c>
      <c r="G819" s="2">
        <v>45870</v>
      </c>
      <c r="H819" s="5">
        <f t="shared" si="46"/>
        <v>3</v>
      </c>
      <c r="I819" s="5">
        <f t="shared" si="47"/>
        <v>3</v>
      </c>
      <c r="J819" s="2" t="s">
        <v>31</v>
      </c>
      <c r="K819" s="2" t="s">
        <v>587</v>
      </c>
      <c r="AD819" s="33" t="str">
        <f t="shared" si="42"/>
        <v>Friday</v>
      </c>
    </row>
    <row r="820" spans="1:30" x14ac:dyDescent="0.2">
      <c r="A820" s="3">
        <v>41350</v>
      </c>
      <c r="B820" s="2" t="s">
        <v>36</v>
      </c>
      <c r="C820" t="s">
        <v>7</v>
      </c>
      <c r="D820" t="s">
        <v>208</v>
      </c>
      <c r="E820" s="2">
        <v>45867</v>
      </c>
      <c r="F820" s="2" cm="1">
        <f t="array" ref="F820">_xlfn.IFS(B820="Owner Surrender",E820,B820="Stray",E820+6,B820="Stray w/identification",E820+11,B820="Bite",E820+10,B820="Other",Blank)</f>
        <v>45867</v>
      </c>
      <c r="G820" s="2">
        <v>45870</v>
      </c>
      <c r="H820" s="5">
        <f t="shared" si="46"/>
        <v>3</v>
      </c>
      <c r="I820" s="5">
        <f t="shared" si="47"/>
        <v>3</v>
      </c>
      <c r="J820" s="2" t="s">
        <v>31</v>
      </c>
      <c r="K820" s="2" t="s">
        <v>587</v>
      </c>
      <c r="AD820" s="33" t="str">
        <f t="shared" si="42"/>
        <v>Friday</v>
      </c>
    </row>
    <row r="821" spans="1:30" x14ac:dyDescent="0.2">
      <c r="A821" s="3">
        <v>41351</v>
      </c>
      <c r="B821" s="2" t="s">
        <v>36</v>
      </c>
      <c r="C821" t="s">
        <v>7</v>
      </c>
      <c r="D821" t="s">
        <v>208</v>
      </c>
      <c r="E821" s="2">
        <v>45867</v>
      </c>
      <c r="F821" s="2" cm="1">
        <f t="array" ref="F821">_xlfn.IFS(B821="Owner Surrender",E821,B821="Stray",E821+6,B821="Stray w/identification",E821+11,B821="Bite",E821+10,B821="Other",Blank)</f>
        <v>45867</v>
      </c>
      <c r="G821" s="2">
        <v>45870</v>
      </c>
      <c r="H821" s="5">
        <f t="shared" si="46"/>
        <v>3</v>
      </c>
      <c r="I821" s="5">
        <f t="shared" si="47"/>
        <v>3</v>
      </c>
      <c r="J821" s="2" t="s">
        <v>31</v>
      </c>
      <c r="K821" s="2" t="s">
        <v>587</v>
      </c>
      <c r="AD821" s="33" t="str">
        <f t="shared" si="42"/>
        <v>Friday</v>
      </c>
    </row>
    <row r="822" spans="1:30" x14ac:dyDescent="0.2">
      <c r="A822" s="3">
        <v>41352</v>
      </c>
      <c r="B822" s="2" t="s">
        <v>36</v>
      </c>
      <c r="C822" t="s">
        <v>7</v>
      </c>
      <c r="D822" t="s">
        <v>208</v>
      </c>
      <c r="E822" s="2">
        <v>45867</v>
      </c>
      <c r="F822" s="2" cm="1">
        <f t="array" ref="F822">_xlfn.IFS(B822="Owner Surrender",E822,B822="Stray",E822+6,B822="Stray w/identification",E822+11,B822="Bite",E822+10,B822="Other",Blank)</f>
        <v>45867</v>
      </c>
      <c r="G822" s="2">
        <v>45870</v>
      </c>
      <c r="H822" s="5">
        <f t="shared" si="46"/>
        <v>3</v>
      </c>
      <c r="I822" s="5">
        <f t="shared" si="47"/>
        <v>3</v>
      </c>
      <c r="J822" s="2" t="s">
        <v>31</v>
      </c>
      <c r="K822" s="2" t="s">
        <v>587</v>
      </c>
      <c r="AD822" s="33" t="str">
        <f t="shared" si="42"/>
        <v>Friday</v>
      </c>
    </row>
    <row r="823" spans="1:30" x14ac:dyDescent="0.2">
      <c r="A823" s="3">
        <v>41353</v>
      </c>
      <c r="B823" s="2" t="s">
        <v>36</v>
      </c>
      <c r="C823" t="s">
        <v>7</v>
      </c>
      <c r="D823" t="s">
        <v>208</v>
      </c>
      <c r="E823" s="2">
        <v>45867</v>
      </c>
      <c r="F823" s="2" cm="1">
        <f t="array" ref="F823">_xlfn.IFS(B823="Owner Surrender",E823,B823="Stray",E823+6,B823="Stray w/identification",E823+11,B823="Bite",E823+10,B823="Other",Blank)</f>
        <v>45867</v>
      </c>
      <c r="G823" s="2">
        <v>45870</v>
      </c>
      <c r="H823" s="5">
        <f t="shared" si="46"/>
        <v>3</v>
      </c>
      <c r="I823" s="5">
        <f t="shared" si="47"/>
        <v>3</v>
      </c>
      <c r="J823" s="2" t="s">
        <v>31</v>
      </c>
      <c r="K823" s="2" t="s">
        <v>587</v>
      </c>
      <c r="AD823" s="33" t="str">
        <f t="shared" si="42"/>
        <v>Friday</v>
      </c>
    </row>
    <row r="824" spans="1:30" x14ac:dyDescent="0.2">
      <c r="A824" s="3">
        <v>41354</v>
      </c>
      <c r="B824" s="2" t="s">
        <v>36</v>
      </c>
      <c r="C824" t="s">
        <v>7</v>
      </c>
      <c r="D824" t="s">
        <v>208</v>
      </c>
      <c r="E824" s="2">
        <v>45867</v>
      </c>
      <c r="F824" s="2" cm="1">
        <f t="array" ref="F824">_xlfn.IFS(B824="Owner Surrender",E824,B824="Stray",E824+6,B824="Stray w/identification",E824+11,B824="Bite",E824+10,B824="Other",Blank)</f>
        <v>45867</v>
      </c>
      <c r="G824" s="2">
        <v>45870</v>
      </c>
      <c r="H824" s="5">
        <f t="shared" si="46"/>
        <v>3</v>
      </c>
      <c r="I824" s="5">
        <f t="shared" si="47"/>
        <v>3</v>
      </c>
      <c r="J824" s="2" t="s">
        <v>31</v>
      </c>
      <c r="K824" s="2" t="s">
        <v>587</v>
      </c>
      <c r="AD824" s="33" t="str">
        <f t="shared" si="42"/>
        <v>Friday</v>
      </c>
    </row>
    <row r="825" spans="1:30" x14ac:dyDescent="0.2">
      <c r="A825" s="3">
        <v>41355</v>
      </c>
      <c r="B825" s="2" t="s">
        <v>36</v>
      </c>
      <c r="C825" t="s">
        <v>7</v>
      </c>
      <c r="D825" t="s">
        <v>207</v>
      </c>
      <c r="E825" s="2">
        <v>45867</v>
      </c>
      <c r="F825" s="2" cm="1">
        <f t="array" ref="F825">_xlfn.IFS(B825="Owner Surrender",E825,B825="Stray",E825+6,B825="Stray w/identification",E825+11,B825="Bite",E825+10,B825="Other",Blank)</f>
        <v>45867</v>
      </c>
      <c r="G825" s="2">
        <v>45870</v>
      </c>
      <c r="H825" s="5">
        <f t="shared" si="46"/>
        <v>3</v>
      </c>
      <c r="I825" s="5">
        <f t="shared" si="47"/>
        <v>3</v>
      </c>
      <c r="J825" s="2" t="s">
        <v>31</v>
      </c>
      <c r="K825" s="2" t="s">
        <v>587</v>
      </c>
      <c r="AD825" s="33" t="str">
        <f t="shared" si="42"/>
        <v>Friday</v>
      </c>
    </row>
    <row r="826" spans="1:30" x14ac:dyDescent="0.2">
      <c r="A826" s="3">
        <v>41356</v>
      </c>
      <c r="B826" s="2" t="s">
        <v>36</v>
      </c>
      <c r="C826" t="s">
        <v>7</v>
      </c>
      <c r="D826" t="s">
        <v>208</v>
      </c>
      <c r="E826" s="2">
        <v>45867</v>
      </c>
      <c r="F826" s="2" cm="1">
        <f t="array" ref="F826">_xlfn.IFS(B826="Owner Surrender",E826,B826="Stray",E826+6,B826="Stray w/identification",E826+11,B826="Bite",E826+10,B826="Other",Blank)</f>
        <v>45867</v>
      </c>
      <c r="G826" s="2">
        <v>45870</v>
      </c>
      <c r="H826" s="5">
        <f t="shared" si="46"/>
        <v>3</v>
      </c>
      <c r="I826" s="5">
        <f t="shared" si="47"/>
        <v>3</v>
      </c>
      <c r="J826" s="2" t="s">
        <v>31</v>
      </c>
      <c r="K826" s="2" t="s">
        <v>587</v>
      </c>
      <c r="AD826" s="33" t="str">
        <f t="shared" si="42"/>
        <v>Friday</v>
      </c>
    </row>
    <row r="827" spans="1:30" x14ac:dyDescent="0.2">
      <c r="A827" s="3">
        <v>41357</v>
      </c>
      <c r="B827" s="2" t="s">
        <v>36</v>
      </c>
      <c r="C827" t="s">
        <v>7</v>
      </c>
      <c r="D827" t="s">
        <v>208</v>
      </c>
      <c r="E827" s="2">
        <v>45867</v>
      </c>
      <c r="F827" s="2" cm="1">
        <f t="array" ref="F827">_xlfn.IFS(B827="Owner Surrender",E827,B827="Stray",E827+6,B827="Stray w/identification",E827+11,B827="Bite",E827+10,B827="Other",Blank)</f>
        <v>45867</v>
      </c>
      <c r="G827" s="2">
        <v>45870</v>
      </c>
      <c r="H827" s="5">
        <f t="shared" si="46"/>
        <v>3</v>
      </c>
      <c r="I827" s="5">
        <f t="shared" si="47"/>
        <v>3</v>
      </c>
      <c r="J827" s="2" t="s">
        <v>31</v>
      </c>
      <c r="K827" s="2" t="s">
        <v>587</v>
      </c>
      <c r="AD827" s="33" t="str">
        <f t="shared" si="42"/>
        <v>Friday</v>
      </c>
    </row>
    <row r="828" spans="1:30" x14ac:dyDescent="0.2">
      <c r="A828" s="3">
        <v>41358</v>
      </c>
      <c r="B828" s="2" t="s">
        <v>36</v>
      </c>
      <c r="C828" t="s">
        <v>7</v>
      </c>
      <c r="D828" t="s">
        <v>208</v>
      </c>
      <c r="E828" s="2">
        <v>45867</v>
      </c>
      <c r="F828" s="2" cm="1">
        <f t="array" ref="F828">_xlfn.IFS(B828="Owner Surrender",E828,B828="Stray",E828+6,B828="Stray w/identification",E828+11,B828="Bite",E828+10,B828="Other",Blank)</f>
        <v>45867</v>
      </c>
      <c r="G828" s="2">
        <v>45870</v>
      </c>
      <c r="H828" s="5">
        <f t="shared" si="46"/>
        <v>3</v>
      </c>
      <c r="I828" s="5">
        <f t="shared" si="47"/>
        <v>3</v>
      </c>
      <c r="J828" s="2" t="s">
        <v>31</v>
      </c>
      <c r="K828" s="2" t="s">
        <v>587</v>
      </c>
      <c r="AD828" s="33" t="str">
        <f t="shared" si="42"/>
        <v>Friday</v>
      </c>
    </row>
    <row r="829" spans="1:30" x14ac:dyDescent="0.2">
      <c r="A829" s="3">
        <v>41359</v>
      </c>
      <c r="B829" s="2" t="s">
        <v>36</v>
      </c>
      <c r="C829" t="s">
        <v>7</v>
      </c>
      <c r="D829" t="s">
        <v>208</v>
      </c>
      <c r="E829" s="2">
        <v>45867</v>
      </c>
      <c r="F829" s="2" cm="1">
        <f t="array" ref="F829">_xlfn.IFS(B829="Owner Surrender",E829,B829="Stray",E829+6,B829="Stray w/identification",E829+11,B829="Bite",E829+10,B829="Other",Blank)</f>
        <v>45867</v>
      </c>
      <c r="G829" s="2">
        <v>45870</v>
      </c>
      <c r="H829" s="5">
        <f t="shared" si="46"/>
        <v>3</v>
      </c>
      <c r="I829" s="5">
        <f t="shared" si="47"/>
        <v>3</v>
      </c>
      <c r="J829" s="2" t="s">
        <v>31</v>
      </c>
      <c r="K829" s="2" t="s">
        <v>587</v>
      </c>
      <c r="AD829" s="33" t="str">
        <f t="shared" si="42"/>
        <v>Friday</v>
      </c>
    </row>
    <row r="830" spans="1:30" x14ac:dyDescent="0.2">
      <c r="A830" s="3">
        <v>41360</v>
      </c>
      <c r="B830" s="2" t="s">
        <v>36</v>
      </c>
      <c r="C830" t="s">
        <v>7</v>
      </c>
      <c r="D830" t="s">
        <v>208</v>
      </c>
      <c r="E830" s="2">
        <v>45867</v>
      </c>
      <c r="F830" s="2" cm="1">
        <f t="array" ref="F830">_xlfn.IFS(B830="Owner Surrender",E830,B830="Stray",E830+6,B830="Stray w/identification",E830+11,B830="Bite",E830+10,B830="Other",Blank)</f>
        <v>45867</v>
      </c>
      <c r="G830" s="2">
        <v>45870</v>
      </c>
      <c r="H830" s="5">
        <f t="shared" si="46"/>
        <v>3</v>
      </c>
      <c r="I830" s="5">
        <f t="shared" si="47"/>
        <v>3</v>
      </c>
      <c r="J830" s="2" t="s">
        <v>31</v>
      </c>
      <c r="K830" s="2" t="s">
        <v>587</v>
      </c>
      <c r="AD830" s="33" t="str">
        <f t="shared" si="42"/>
        <v>Friday</v>
      </c>
    </row>
    <row r="831" spans="1:30" x14ac:dyDescent="0.2">
      <c r="A831" s="3">
        <v>41362</v>
      </c>
      <c r="B831" s="2" t="s">
        <v>38</v>
      </c>
      <c r="C831" t="s">
        <v>7</v>
      </c>
      <c r="D831" t="s">
        <v>208</v>
      </c>
      <c r="E831" s="2">
        <v>45867</v>
      </c>
      <c r="F831" s="2" cm="1">
        <f t="array" ref="F831">_xlfn.IFS(B831="Owner Surrender",E831,B831="Stray",E831+6,B831="Stray w/identification",E831+11,B831="Bite",E831+10,B831="Other",Blank)</f>
        <v>45873</v>
      </c>
      <c r="G831" s="2">
        <v>45867</v>
      </c>
      <c r="H831" s="5">
        <f t="shared" si="46"/>
        <v>0</v>
      </c>
      <c r="I831" s="5">
        <f t="shared" si="47"/>
        <v>-6</v>
      </c>
      <c r="J831" t="s">
        <v>31</v>
      </c>
      <c r="K831" s="2" t="s">
        <v>588</v>
      </c>
      <c r="M831" t="s">
        <v>33</v>
      </c>
      <c r="AD831" s="33" t="str">
        <f t="shared" si="42"/>
        <v>Tuesday</v>
      </c>
    </row>
    <row r="832" spans="1:30" x14ac:dyDescent="0.2">
      <c r="A832" s="3">
        <v>41363</v>
      </c>
      <c r="B832" s="2" t="s">
        <v>36</v>
      </c>
      <c r="C832" t="s">
        <v>7</v>
      </c>
      <c r="D832" t="s">
        <v>208</v>
      </c>
      <c r="E832" s="2">
        <v>45867</v>
      </c>
      <c r="F832" s="2" cm="1">
        <f t="array" ref="F832">_xlfn.IFS(B832="Owner Surrender",E832,B832="Stray",E832+6,B832="Stray w/identification",E832+11,B832="Bite",E832+10,B832="Other",Blank)</f>
        <v>45867</v>
      </c>
      <c r="G832" s="2">
        <v>45868</v>
      </c>
      <c r="H832" s="5">
        <f t="shared" si="46"/>
        <v>1</v>
      </c>
      <c r="I832" s="5">
        <f t="shared" si="47"/>
        <v>1</v>
      </c>
      <c r="J832" s="2" t="s">
        <v>31</v>
      </c>
      <c r="K832" s="2" t="s">
        <v>587</v>
      </c>
      <c r="AD832" s="33" t="str">
        <f t="shared" si="42"/>
        <v>Wednesday</v>
      </c>
    </row>
    <row r="833" spans="1:30" x14ac:dyDescent="0.2">
      <c r="A833" s="3">
        <v>41364</v>
      </c>
      <c r="B833" s="2" t="s">
        <v>36</v>
      </c>
      <c r="C833" t="s">
        <v>7</v>
      </c>
      <c r="D833" t="s">
        <v>208</v>
      </c>
      <c r="E833" s="2">
        <v>45867</v>
      </c>
      <c r="F833" s="2" cm="1">
        <f t="array" ref="F833">_xlfn.IFS(B833="Owner Surrender",E833,B833="Stray",E833+6,B833="Stray w/identification",E833+11,B833="Bite",E833+10,B833="Other",Blank)</f>
        <v>45867</v>
      </c>
      <c r="G833" s="2">
        <v>45868</v>
      </c>
      <c r="H833" s="5">
        <f t="shared" si="46"/>
        <v>1</v>
      </c>
      <c r="I833" s="5">
        <f t="shared" si="47"/>
        <v>1</v>
      </c>
      <c r="J833" s="2" t="s">
        <v>31</v>
      </c>
      <c r="K833" s="2" t="s">
        <v>587</v>
      </c>
      <c r="AD833" s="33" t="str">
        <f t="shared" si="42"/>
        <v>Wednesday</v>
      </c>
    </row>
    <row r="834" spans="1:30" x14ac:dyDescent="0.2">
      <c r="A834" s="3">
        <v>41365</v>
      </c>
      <c r="B834" s="2" t="s">
        <v>36</v>
      </c>
      <c r="C834" t="s">
        <v>7</v>
      </c>
      <c r="D834" t="s">
        <v>208</v>
      </c>
      <c r="E834" s="2">
        <v>45867</v>
      </c>
      <c r="F834" s="2" cm="1">
        <f t="array" ref="F834">_xlfn.IFS(B834="Owner Surrender",E834,B834="Stray",E834+6,B834="Stray w/identification",E834+11,B834="Bite",E834+10,B834="Other",Blank)</f>
        <v>45867</v>
      </c>
      <c r="G834" s="2">
        <v>45868</v>
      </c>
      <c r="H834" s="5">
        <f t="shared" si="46"/>
        <v>1</v>
      </c>
      <c r="I834" s="5">
        <f t="shared" si="47"/>
        <v>1</v>
      </c>
      <c r="J834" s="2" t="s">
        <v>31</v>
      </c>
      <c r="K834" s="2" t="s">
        <v>587</v>
      </c>
      <c r="AD834" s="33" t="str">
        <f t="shared" si="42"/>
        <v>Wednesday</v>
      </c>
    </row>
    <row r="835" spans="1:30" x14ac:dyDescent="0.2">
      <c r="A835" s="3">
        <v>41368</v>
      </c>
      <c r="B835" s="2" t="s">
        <v>38</v>
      </c>
      <c r="C835" t="s">
        <v>7</v>
      </c>
      <c r="D835" t="s">
        <v>208</v>
      </c>
      <c r="E835" s="2">
        <v>45868</v>
      </c>
      <c r="F835" s="2" cm="1">
        <f t="array" ref="F835">_xlfn.IFS(B835="Owner Surrender",E835,B835="Stray",E835+6,B835="Stray w/identification",E835+11,B835="Bite",E835+10,B835="Other",Blank)</f>
        <v>45874</v>
      </c>
      <c r="G835" s="2">
        <v>45874</v>
      </c>
      <c r="H835" s="5">
        <f t="shared" si="46"/>
        <v>6</v>
      </c>
      <c r="I835" s="5">
        <f t="shared" si="47"/>
        <v>0</v>
      </c>
      <c r="J835" s="2" t="s">
        <v>31</v>
      </c>
      <c r="K835" s="2" t="s">
        <v>587</v>
      </c>
      <c r="M835" t="s">
        <v>34</v>
      </c>
      <c r="AD835" s="33" t="str">
        <f t="shared" si="42"/>
        <v>Tuesday</v>
      </c>
    </row>
    <row r="836" spans="1:30" x14ac:dyDescent="0.2">
      <c r="A836" s="3">
        <v>41369</v>
      </c>
      <c r="B836" s="2" t="s">
        <v>38</v>
      </c>
      <c r="C836" t="s">
        <v>7</v>
      </c>
      <c r="D836" t="s">
        <v>207</v>
      </c>
      <c r="E836" s="2">
        <v>45868</v>
      </c>
      <c r="F836" s="2" cm="1">
        <f t="array" ref="F836">_xlfn.IFS(B836="Owner Surrender",E836,B836="Stray",E836+6,B836="Stray w/identification",E836+11,B836="Bite",E836+10,B836="Other",Blank)</f>
        <v>45874</v>
      </c>
      <c r="G836" s="2">
        <v>45874</v>
      </c>
      <c r="H836" s="5">
        <f t="shared" si="46"/>
        <v>6</v>
      </c>
      <c r="I836" s="5">
        <f t="shared" si="47"/>
        <v>0</v>
      </c>
      <c r="J836" s="2" t="s">
        <v>31</v>
      </c>
      <c r="K836" s="2" t="s">
        <v>587</v>
      </c>
      <c r="M836" t="s">
        <v>34</v>
      </c>
      <c r="AD836" s="33" t="str">
        <f t="shared" ref="AD836:AD899" si="48">TEXT(G836,"DDDD")</f>
        <v>Tuesday</v>
      </c>
    </row>
    <row r="837" spans="1:30" x14ac:dyDescent="0.2">
      <c r="A837" s="3">
        <v>41370</v>
      </c>
      <c r="B837" s="2" t="s">
        <v>38</v>
      </c>
      <c r="C837" t="s">
        <v>7</v>
      </c>
      <c r="D837" t="s">
        <v>208</v>
      </c>
      <c r="E837" s="2">
        <v>45868</v>
      </c>
      <c r="F837" s="2" cm="1">
        <f t="array" ref="F837">_xlfn.IFS(B837="Owner Surrender",E837,B837="Stray",E837+6,B837="Stray w/identification",E837+11,B837="Bite",E837+10,B837="Other",Blank)</f>
        <v>45874</v>
      </c>
      <c r="G837" s="2">
        <v>45874</v>
      </c>
      <c r="H837" s="5">
        <f t="shared" si="46"/>
        <v>6</v>
      </c>
      <c r="I837" s="5">
        <f t="shared" si="47"/>
        <v>0</v>
      </c>
      <c r="J837" s="2" t="s">
        <v>31</v>
      </c>
      <c r="K837" s="2" t="s">
        <v>587</v>
      </c>
      <c r="M837" t="s">
        <v>34</v>
      </c>
      <c r="AD837" s="33" t="str">
        <f t="shared" si="48"/>
        <v>Tuesday</v>
      </c>
    </row>
    <row r="838" spans="1:30" x14ac:dyDescent="0.2">
      <c r="A838" s="3">
        <v>41371</v>
      </c>
      <c r="B838" s="2" t="s">
        <v>38</v>
      </c>
      <c r="C838" t="s">
        <v>7</v>
      </c>
      <c r="D838" t="s">
        <v>208</v>
      </c>
      <c r="E838" s="2">
        <v>45868</v>
      </c>
      <c r="F838" s="2" cm="1">
        <f t="array" ref="F838">_xlfn.IFS(B838="Owner Surrender",E838,B838="Stray",E838+6,B838="Stray w/identification",E838+11,B838="Bite",E838+10,B838="Other",Blank)</f>
        <v>45874</v>
      </c>
      <c r="G838" s="2">
        <v>45874</v>
      </c>
      <c r="H838" s="5">
        <f t="shared" si="46"/>
        <v>6</v>
      </c>
      <c r="I838" s="5">
        <f t="shared" si="47"/>
        <v>0</v>
      </c>
      <c r="J838" s="2" t="s">
        <v>31</v>
      </c>
      <c r="K838" s="2" t="s">
        <v>587</v>
      </c>
      <c r="M838" t="s">
        <v>34</v>
      </c>
      <c r="AD838" s="33" t="str">
        <f t="shared" si="48"/>
        <v>Tuesday</v>
      </c>
    </row>
    <row r="839" spans="1:30" x14ac:dyDescent="0.2">
      <c r="A839" s="3">
        <v>41372</v>
      </c>
      <c r="B839" s="2" t="s">
        <v>38</v>
      </c>
      <c r="C839" t="s">
        <v>7</v>
      </c>
      <c r="D839" t="s">
        <v>208</v>
      </c>
      <c r="E839" s="2">
        <v>45868</v>
      </c>
      <c r="F839" s="2" cm="1">
        <f t="array" ref="F839">_xlfn.IFS(B839="Owner Surrender",E839,B839="Stray",E839+6,B839="Stray w/identification",E839+11,B839="Bite",E839+10,B839="Other",Blank)</f>
        <v>45874</v>
      </c>
      <c r="G839" s="2">
        <v>45874</v>
      </c>
      <c r="H839" s="5">
        <f t="shared" si="46"/>
        <v>6</v>
      </c>
      <c r="I839" s="5">
        <f t="shared" si="47"/>
        <v>0</v>
      </c>
      <c r="J839" s="2" t="s">
        <v>31</v>
      </c>
      <c r="K839" s="2" t="s">
        <v>587</v>
      </c>
      <c r="M839" t="s">
        <v>34</v>
      </c>
      <c r="AD839" s="33" t="str">
        <f t="shared" si="48"/>
        <v>Tuesday</v>
      </c>
    </row>
    <row r="840" spans="1:30" x14ac:dyDescent="0.2">
      <c r="A840" s="3">
        <v>41373</v>
      </c>
      <c r="B840" s="2" t="s">
        <v>38</v>
      </c>
      <c r="C840" t="s">
        <v>7</v>
      </c>
      <c r="D840" t="s">
        <v>208</v>
      </c>
      <c r="E840" s="2">
        <v>45868</v>
      </c>
      <c r="F840" s="2" cm="1">
        <f t="array" ref="F840">_xlfn.IFS(B840="Owner Surrender",E840,B840="Stray",E840+6,B840="Stray w/identification",E840+11,B840="Bite",E840+10,B840="Other",Blank)</f>
        <v>45874</v>
      </c>
      <c r="G840" s="2">
        <v>45874</v>
      </c>
      <c r="H840" s="5">
        <f t="shared" si="46"/>
        <v>6</v>
      </c>
      <c r="I840" s="5">
        <f t="shared" si="47"/>
        <v>0</v>
      </c>
      <c r="J840" s="2" t="s">
        <v>31</v>
      </c>
      <c r="K840" s="2" t="s">
        <v>587</v>
      </c>
      <c r="M840" t="s">
        <v>34</v>
      </c>
      <c r="AD840" s="33" t="str">
        <f t="shared" si="48"/>
        <v>Tuesday</v>
      </c>
    </row>
    <row r="841" spans="1:30" x14ac:dyDescent="0.2">
      <c r="A841" s="3">
        <v>41374</v>
      </c>
      <c r="B841" s="2" t="s">
        <v>38</v>
      </c>
      <c r="C841" t="s">
        <v>7</v>
      </c>
      <c r="D841" t="s">
        <v>208</v>
      </c>
      <c r="E841" s="2">
        <v>45868</v>
      </c>
      <c r="F841" s="2" cm="1">
        <f t="array" ref="F841">_xlfn.IFS(B841="Owner Surrender",E841,B841="Stray",E841+6,B841="Stray w/identification",E841+11,B841="Bite",E841+10,B841="Other",Blank)</f>
        <v>45874</v>
      </c>
      <c r="G841" s="2">
        <v>45874</v>
      </c>
      <c r="H841" s="5">
        <f t="shared" si="46"/>
        <v>6</v>
      </c>
      <c r="I841" s="5">
        <f t="shared" si="47"/>
        <v>0</v>
      </c>
      <c r="J841" s="2" t="s">
        <v>31</v>
      </c>
      <c r="K841" s="2" t="s">
        <v>587</v>
      </c>
      <c r="M841" t="s">
        <v>34</v>
      </c>
      <c r="AD841" s="33" t="str">
        <f t="shared" si="48"/>
        <v>Tuesday</v>
      </c>
    </row>
    <row r="842" spans="1:30" x14ac:dyDescent="0.2">
      <c r="A842" s="3">
        <v>41375</v>
      </c>
      <c r="B842" s="2" t="s">
        <v>38</v>
      </c>
      <c r="C842" t="s">
        <v>7</v>
      </c>
      <c r="D842" t="s">
        <v>208</v>
      </c>
      <c r="E842" s="2">
        <v>45868</v>
      </c>
      <c r="F842" s="2" cm="1">
        <f t="array" ref="F842">_xlfn.IFS(B842="Owner Surrender",E842,B842="Stray",E842+6,B842="Stray w/identification",E842+11,B842="Bite",E842+10,B842="Other",Blank)</f>
        <v>45874</v>
      </c>
      <c r="G842" s="2">
        <v>45874</v>
      </c>
      <c r="H842" s="5">
        <f t="shared" si="46"/>
        <v>6</v>
      </c>
      <c r="I842" s="5">
        <f t="shared" si="47"/>
        <v>0</v>
      </c>
      <c r="J842" s="2" t="s">
        <v>31</v>
      </c>
      <c r="K842" s="2" t="s">
        <v>587</v>
      </c>
      <c r="M842" t="s">
        <v>34</v>
      </c>
      <c r="AD842" s="33" t="str">
        <f t="shared" si="48"/>
        <v>Tuesday</v>
      </c>
    </row>
    <row r="843" spans="1:30" x14ac:dyDescent="0.2">
      <c r="A843" s="3">
        <v>41376</v>
      </c>
      <c r="B843" s="2" t="s">
        <v>38</v>
      </c>
      <c r="C843" t="s">
        <v>7</v>
      </c>
      <c r="D843" t="s">
        <v>207</v>
      </c>
      <c r="E843" s="2">
        <v>45867</v>
      </c>
      <c r="F843" s="2" cm="1">
        <f t="array" ref="F843">_xlfn.IFS(B843="Owner Surrender",E843,B843="Stray",E843+6,B843="Stray w/identification",E843+11,B843="Bite",E843+10,B843="Other",Blank)</f>
        <v>45873</v>
      </c>
      <c r="G843" s="2">
        <v>45874</v>
      </c>
      <c r="H843" s="5">
        <f t="shared" si="46"/>
        <v>7</v>
      </c>
      <c r="I843" s="5">
        <f t="shared" si="47"/>
        <v>1</v>
      </c>
      <c r="J843" s="2" t="s">
        <v>31</v>
      </c>
      <c r="K843" s="2" t="s">
        <v>587</v>
      </c>
      <c r="AD843" s="33" t="str">
        <f t="shared" si="48"/>
        <v>Tuesday</v>
      </c>
    </row>
    <row r="844" spans="1:30" x14ac:dyDescent="0.2">
      <c r="A844" s="3">
        <v>41377</v>
      </c>
      <c r="B844" s="2" t="s">
        <v>38</v>
      </c>
      <c r="C844" t="s">
        <v>10</v>
      </c>
      <c r="D844" t="s">
        <v>207</v>
      </c>
      <c r="E844" s="2">
        <v>45869</v>
      </c>
      <c r="F844" s="2" cm="1">
        <f t="array" ref="F844">_xlfn.IFS(B844="Owner Surrender",E844,B844="Stray",E844+6,B844="Stray w/identification",E844+11,B844="Bite",E844+10,B844="Other",Blank)</f>
        <v>45875</v>
      </c>
      <c r="G844" s="2">
        <v>45874</v>
      </c>
      <c r="H844" s="5">
        <f t="shared" ref="H844:H875" si="49">+G844-E844</f>
        <v>5</v>
      </c>
      <c r="I844" s="5">
        <f t="shared" ref="I844:I913" si="50">G844-F844</f>
        <v>-1</v>
      </c>
      <c r="J844" s="2" t="s">
        <v>31</v>
      </c>
      <c r="K844" s="2" t="s">
        <v>587</v>
      </c>
      <c r="M844" t="s">
        <v>34</v>
      </c>
      <c r="AD844" s="33" t="str">
        <f t="shared" si="48"/>
        <v>Tuesday</v>
      </c>
    </row>
    <row r="845" spans="1:30" x14ac:dyDescent="0.2">
      <c r="A845" s="3">
        <v>41378</v>
      </c>
      <c r="B845" s="2" t="s">
        <v>36</v>
      </c>
      <c r="C845" t="s">
        <v>7</v>
      </c>
      <c r="D845" t="s">
        <v>208</v>
      </c>
      <c r="E845" s="2">
        <v>45869</v>
      </c>
      <c r="F845" s="2" cm="1">
        <f t="array" ref="F845">_xlfn.IFS(B845="Owner Surrender",E845,B845="Stray",E845+6,B845="Stray w/identification",E845+11,B845="Bite",E845+10,B845="Other",Blank)</f>
        <v>45869</v>
      </c>
      <c r="G845" s="2">
        <v>45874</v>
      </c>
      <c r="H845" s="5">
        <f t="shared" si="49"/>
        <v>5</v>
      </c>
      <c r="I845" s="5">
        <f t="shared" si="50"/>
        <v>5</v>
      </c>
      <c r="J845" s="2" t="s">
        <v>31</v>
      </c>
      <c r="K845" s="2" t="s">
        <v>587</v>
      </c>
      <c r="AD845" s="33" t="str">
        <f t="shared" si="48"/>
        <v>Tuesday</v>
      </c>
    </row>
    <row r="846" spans="1:30" x14ac:dyDescent="0.2">
      <c r="A846" s="3">
        <v>41380</v>
      </c>
      <c r="B846" s="2" t="s">
        <v>38</v>
      </c>
      <c r="C846" t="s">
        <v>7</v>
      </c>
      <c r="D846" t="s">
        <v>208</v>
      </c>
      <c r="E846" s="2">
        <v>45869</v>
      </c>
      <c r="F846" s="2" cm="1">
        <f t="array" ref="F846">_xlfn.IFS(B846="Owner Surrender",E846,B846="Stray",E846+6,B846="Stray w/identification",E846+11,B846="Bite",E846+10,B846="Other",Blank)</f>
        <v>45875</v>
      </c>
      <c r="G846" s="2">
        <v>45881</v>
      </c>
      <c r="H846" s="5">
        <f t="shared" si="49"/>
        <v>12</v>
      </c>
      <c r="I846" s="5">
        <f t="shared" si="50"/>
        <v>6</v>
      </c>
      <c r="J846" s="2" t="s">
        <v>31</v>
      </c>
      <c r="K846" s="2" t="s">
        <v>587</v>
      </c>
      <c r="AD846" s="33" t="str">
        <f t="shared" si="48"/>
        <v>Tuesday</v>
      </c>
    </row>
    <row r="847" spans="1:30" x14ac:dyDescent="0.2">
      <c r="A847" s="3">
        <v>41381</v>
      </c>
      <c r="B847" s="2" t="s">
        <v>36</v>
      </c>
      <c r="C847" t="s">
        <v>7</v>
      </c>
      <c r="D847" t="s">
        <v>208</v>
      </c>
      <c r="E847" s="2">
        <v>45869</v>
      </c>
      <c r="F847" s="2" cm="1">
        <f t="array" ref="F847">_xlfn.IFS(B847="Owner Surrender",E847,B847="Stray",E847+6,B847="Stray w/identification",E847+11,B847="Bite",E847+10,B847="Other",Blank)</f>
        <v>45869</v>
      </c>
      <c r="G847" s="2">
        <v>45869</v>
      </c>
      <c r="H847" s="5">
        <f t="shared" si="49"/>
        <v>0</v>
      </c>
      <c r="I847" s="5">
        <f t="shared" si="50"/>
        <v>0</v>
      </c>
      <c r="J847" s="2" t="s">
        <v>31</v>
      </c>
      <c r="K847" s="2" t="s">
        <v>143</v>
      </c>
      <c r="M847" t="s">
        <v>46</v>
      </c>
      <c r="AD847" s="33" t="str">
        <f t="shared" si="48"/>
        <v>Thursday</v>
      </c>
    </row>
    <row r="848" spans="1:30" x14ac:dyDescent="0.2">
      <c r="A848" s="3">
        <v>41382</v>
      </c>
      <c r="B848" s="2" t="s">
        <v>36</v>
      </c>
      <c r="C848" t="s">
        <v>7</v>
      </c>
      <c r="D848" t="s">
        <v>208</v>
      </c>
      <c r="E848" s="2">
        <v>45869</v>
      </c>
      <c r="F848" s="2" cm="1">
        <f t="array" ref="F848">_xlfn.IFS(B848="Owner Surrender",E848,B848="Stray",E848+6,B848="Stray w/identification",E848+11,B848="Bite",E848+10,B848="Other",Blank)</f>
        <v>45869</v>
      </c>
      <c r="G848" s="2">
        <v>45869</v>
      </c>
      <c r="H848" s="5">
        <f t="shared" si="49"/>
        <v>0</v>
      </c>
      <c r="I848" s="5">
        <f t="shared" si="50"/>
        <v>0</v>
      </c>
      <c r="J848" s="2" t="s">
        <v>31</v>
      </c>
      <c r="K848" s="2" t="s">
        <v>143</v>
      </c>
      <c r="M848" t="s">
        <v>46</v>
      </c>
      <c r="AD848" s="33" t="str">
        <f t="shared" si="48"/>
        <v>Thursday</v>
      </c>
    </row>
    <row r="849" spans="1:30" x14ac:dyDescent="0.2">
      <c r="A849" s="3">
        <v>41383</v>
      </c>
      <c r="B849" s="2" t="s">
        <v>36</v>
      </c>
      <c r="C849" t="s">
        <v>7</v>
      </c>
      <c r="D849" t="s">
        <v>208</v>
      </c>
      <c r="E849" s="2">
        <v>45869</v>
      </c>
      <c r="F849" s="2" cm="1">
        <f t="array" ref="F849">_xlfn.IFS(B849="Owner Surrender",E849,B849="Stray",E849+6,B849="Stray w/identification",E849+11,B849="Bite",E849+10,B849="Other",Blank)</f>
        <v>45869</v>
      </c>
      <c r="G849" s="2">
        <v>45869</v>
      </c>
      <c r="H849" s="5">
        <f t="shared" si="49"/>
        <v>0</v>
      </c>
      <c r="I849" s="5">
        <f t="shared" si="50"/>
        <v>0</v>
      </c>
      <c r="J849" s="2" t="s">
        <v>31</v>
      </c>
      <c r="K849" s="2" t="s">
        <v>143</v>
      </c>
      <c r="M849" t="s">
        <v>46</v>
      </c>
      <c r="AD849" s="33" t="str">
        <f t="shared" si="48"/>
        <v>Thursday</v>
      </c>
    </row>
    <row r="850" spans="1:30" x14ac:dyDescent="0.2">
      <c r="A850" s="3">
        <v>41384</v>
      </c>
      <c r="B850" s="2" t="s">
        <v>36</v>
      </c>
      <c r="C850" t="s">
        <v>7</v>
      </c>
      <c r="D850" t="s">
        <v>208</v>
      </c>
      <c r="E850" s="2">
        <v>45869</v>
      </c>
      <c r="F850" s="2" cm="1">
        <f t="array" ref="F850">_xlfn.IFS(B850="Owner Surrender",E850,B850="Stray",E850+6,B850="Stray w/identification",E850+11,B850="Bite",E850+10,B850="Other",Blank)</f>
        <v>45869</v>
      </c>
      <c r="G850" s="2">
        <v>45869</v>
      </c>
      <c r="H850" s="5">
        <f t="shared" si="49"/>
        <v>0</v>
      </c>
      <c r="I850" s="5">
        <f t="shared" si="50"/>
        <v>0</v>
      </c>
      <c r="J850" s="2" t="s">
        <v>31</v>
      </c>
      <c r="K850" s="2" t="s">
        <v>143</v>
      </c>
      <c r="M850" t="s">
        <v>46</v>
      </c>
      <c r="AD850" s="33" t="str">
        <f t="shared" si="48"/>
        <v>Thursday</v>
      </c>
    </row>
    <row r="851" spans="1:30" x14ac:dyDescent="0.2">
      <c r="A851" s="3">
        <v>41387</v>
      </c>
      <c r="B851" s="2" t="s">
        <v>38</v>
      </c>
      <c r="C851" t="s">
        <v>7</v>
      </c>
      <c r="D851" t="s">
        <v>207</v>
      </c>
      <c r="E851" s="2">
        <v>45869</v>
      </c>
      <c r="F851" s="2" cm="1">
        <f t="array" ref="F851">_xlfn.IFS(B851="Owner Surrender",E851,B851="Stray",E851+6,B851="Stray w/identification",E851+11,B851="Bite",E851+10,B851="Other",Blank)</f>
        <v>45875</v>
      </c>
      <c r="G851" s="2">
        <v>45875</v>
      </c>
      <c r="H851" s="5">
        <f t="shared" si="49"/>
        <v>6</v>
      </c>
      <c r="I851" s="5">
        <f t="shared" si="50"/>
        <v>0</v>
      </c>
      <c r="J851" s="2" t="s">
        <v>31</v>
      </c>
      <c r="K851" s="2" t="s">
        <v>587</v>
      </c>
      <c r="AD851" s="33" t="str">
        <f t="shared" si="48"/>
        <v>Wednesday</v>
      </c>
    </row>
    <row r="852" spans="1:30" x14ac:dyDescent="0.2">
      <c r="A852" s="3">
        <v>41388</v>
      </c>
      <c r="B852" s="2" t="s">
        <v>36</v>
      </c>
      <c r="C852" t="s">
        <v>7</v>
      </c>
      <c r="D852" t="s">
        <v>208</v>
      </c>
      <c r="E852" s="2">
        <v>45869</v>
      </c>
      <c r="F852" s="2" cm="1">
        <f t="array" ref="F852">_xlfn.IFS(B852="Owner Surrender",E852,B852="Stray",E852+6,B852="Stray w/identification",E852+11,B852="Bite",E852+10,B852="Other",Blank)</f>
        <v>45869</v>
      </c>
      <c r="G852" s="2">
        <v>45870</v>
      </c>
      <c r="H852" s="5">
        <f t="shared" si="49"/>
        <v>1</v>
      </c>
      <c r="I852" s="5">
        <f t="shared" si="50"/>
        <v>1</v>
      </c>
      <c r="J852" s="2" t="s">
        <v>31</v>
      </c>
      <c r="K852" s="2" t="s">
        <v>588</v>
      </c>
      <c r="M852" t="s">
        <v>33</v>
      </c>
      <c r="AD852" s="33" t="str">
        <f t="shared" si="48"/>
        <v>Friday</v>
      </c>
    </row>
    <row r="853" spans="1:30" x14ac:dyDescent="0.2">
      <c r="A853" s="3">
        <v>41444</v>
      </c>
      <c r="B853" s="2" t="s">
        <v>38</v>
      </c>
      <c r="C853" t="s">
        <v>7</v>
      </c>
      <c r="D853" t="s">
        <v>207</v>
      </c>
      <c r="E853" s="2">
        <v>45867</v>
      </c>
      <c r="F853" s="2" cm="1">
        <f t="array" ref="F853">_xlfn.IFS(B853="Owner Surrender",E853,B853="Stray",E853+6,B853="Stray w/identification",E853+11,B853="Bite",E853+10,B853="Other",Blank)</f>
        <v>45873</v>
      </c>
      <c r="G853" s="2">
        <v>45874</v>
      </c>
      <c r="H853" s="5">
        <f t="shared" si="49"/>
        <v>7</v>
      </c>
      <c r="I853" s="5">
        <f t="shared" si="50"/>
        <v>1</v>
      </c>
      <c r="J853" s="2" t="s">
        <v>31</v>
      </c>
      <c r="K853" s="2" t="s">
        <v>587</v>
      </c>
      <c r="AD853" s="33" t="str">
        <f t="shared" si="48"/>
        <v>Tuesday</v>
      </c>
    </row>
    <row r="854" spans="1:30" x14ac:dyDescent="0.2">
      <c r="A854" s="3">
        <v>70714</v>
      </c>
      <c r="B854" s="2" t="s">
        <v>36</v>
      </c>
      <c r="C854" t="s">
        <v>7</v>
      </c>
      <c r="D854" t="s">
        <v>207</v>
      </c>
      <c r="E854" s="2">
        <v>45805</v>
      </c>
      <c r="F854" s="2" cm="1">
        <f t="array" ref="F854">_xlfn.IFS(B854="Owner Surrender",E854,B854="Stray",E854+6,B854="Stray w/identification",E854+11,B854="Bite",E854+10,B854="Other",Blank)</f>
        <v>45805</v>
      </c>
      <c r="G854" s="2">
        <v>45807</v>
      </c>
      <c r="H854" s="5">
        <f t="shared" si="49"/>
        <v>2</v>
      </c>
      <c r="I854" s="5">
        <f t="shared" si="50"/>
        <v>2</v>
      </c>
      <c r="J854" s="2" t="s">
        <v>31</v>
      </c>
      <c r="K854" s="2" t="s">
        <v>587</v>
      </c>
      <c r="AD854" s="33" t="str">
        <f t="shared" si="48"/>
        <v>Friday</v>
      </c>
    </row>
    <row r="855" spans="1:30" x14ac:dyDescent="0.2">
      <c r="A855" s="3">
        <v>41390</v>
      </c>
      <c r="B855" s="2" t="s">
        <v>38</v>
      </c>
      <c r="C855" t="s">
        <v>10</v>
      </c>
      <c r="D855" t="s">
        <v>208</v>
      </c>
      <c r="E855" s="2">
        <v>45870</v>
      </c>
      <c r="F855" s="2" cm="1">
        <f t="array" ref="F855">_xlfn.IFS(B855="Owner Surrender",E855,B855="Stray",E855+6,B855="Stray w/identification",E855+11,B855="Bite",E855+10,B855="Other",Blank)</f>
        <v>45876</v>
      </c>
      <c r="G855" s="2">
        <v>45876</v>
      </c>
      <c r="H855" s="5">
        <f t="shared" si="49"/>
        <v>6</v>
      </c>
      <c r="I855" s="5">
        <f t="shared" si="50"/>
        <v>0</v>
      </c>
      <c r="J855" s="2" t="s">
        <v>31</v>
      </c>
      <c r="K855" s="2" t="s">
        <v>143</v>
      </c>
      <c r="AD855" s="33" t="str">
        <f t="shared" si="48"/>
        <v>Thursday</v>
      </c>
    </row>
    <row r="856" spans="1:30" x14ac:dyDescent="0.2">
      <c r="A856" s="3">
        <v>41392</v>
      </c>
      <c r="B856" s="2" t="s">
        <v>38</v>
      </c>
      <c r="C856" t="s">
        <v>7</v>
      </c>
      <c r="D856" t="s">
        <v>209</v>
      </c>
      <c r="E856" s="2">
        <v>45870</v>
      </c>
      <c r="F856" s="2" cm="1">
        <f t="array" ref="F856">_xlfn.IFS(B856="Owner Surrender",E856,B856="Stray",E856+6,B856="Stray w/identification",E856+11,B856="Bite",E856+10,B856="Other",Blank)</f>
        <v>45876</v>
      </c>
      <c r="G856" s="2">
        <v>45877</v>
      </c>
      <c r="H856" s="5">
        <f t="shared" si="49"/>
        <v>7</v>
      </c>
      <c r="I856" s="5">
        <f t="shared" si="50"/>
        <v>1</v>
      </c>
      <c r="J856" s="2" t="s">
        <v>31</v>
      </c>
      <c r="K856" s="2" t="s">
        <v>587</v>
      </c>
      <c r="AD856" s="33" t="str">
        <f t="shared" si="48"/>
        <v>Friday</v>
      </c>
    </row>
    <row r="857" spans="1:30" x14ac:dyDescent="0.2">
      <c r="A857" s="3">
        <v>41393</v>
      </c>
      <c r="B857" s="2" t="s">
        <v>38</v>
      </c>
      <c r="C857" t="s">
        <v>7</v>
      </c>
      <c r="D857" t="s">
        <v>209</v>
      </c>
      <c r="E857" s="2">
        <v>45870</v>
      </c>
      <c r="F857" s="2" cm="1">
        <f t="array" ref="F857">_xlfn.IFS(B857="Owner Surrender",E857,B857="Stray",E857+6,B857="Stray w/identification",E857+11,B857="Bite",E857+10,B857="Other",Blank)</f>
        <v>45876</v>
      </c>
      <c r="G857" s="2">
        <v>45877</v>
      </c>
      <c r="H857" s="5">
        <f t="shared" si="49"/>
        <v>7</v>
      </c>
      <c r="I857" s="5">
        <f t="shared" si="50"/>
        <v>1</v>
      </c>
      <c r="J857" s="2" t="s">
        <v>31</v>
      </c>
      <c r="K857" s="2" t="s">
        <v>587</v>
      </c>
      <c r="AD857" s="33" t="str">
        <f t="shared" si="48"/>
        <v>Friday</v>
      </c>
    </row>
    <row r="858" spans="1:30" x14ac:dyDescent="0.2">
      <c r="A858" s="3">
        <v>41394</v>
      </c>
      <c r="B858" s="2" t="s">
        <v>38</v>
      </c>
      <c r="C858" t="s">
        <v>7</v>
      </c>
      <c r="D858" t="s">
        <v>209</v>
      </c>
      <c r="E858" s="2">
        <v>45870</v>
      </c>
      <c r="F858" s="2" cm="1">
        <f t="array" ref="F858">_xlfn.IFS(B858="Owner Surrender",E858,B858="Stray",E858+6,B858="Stray w/identification",E858+11,B858="Bite",E858+10,B858="Other",Blank)</f>
        <v>45876</v>
      </c>
      <c r="G858" s="2">
        <v>45877</v>
      </c>
      <c r="H858" s="5">
        <f t="shared" si="49"/>
        <v>7</v>
      </c>
      <c r="I858" s="5">
        <f t="shared" si="50"/>
        <v>1</v>
      </c>
      <c r="J858" s="2" t="s">
        <v>31</v>
      </c>
      <c r="K858" s="2" t="s">
        <v>587</v>
      </c>
      <c r="AD858" s="33" t="str">
        <f t="shared" si="48"/>
        <v>Friday</v>
      </c>
    </row>
    <row r="859" spans="1:30" x14ac:dyDescent="0.2">
      <c r="A859" s="3">
        <v>41395</v>
      </c>
      <c r="B859" s="2" t="s">
        <v>38</v>
      </c>
      <c r="C859" t="s">
        <v>7</v>
      </c>
      <c r="D859" t="s">
        <v>208</v>
      </c>
      <c r="E859" s="2">
        <v>45870</v>
      </c>
      <c r="F859" s="2" cm="1">
        <f t="array" ref="F859">_xlfn.IFS(B859="Owner Surrender",E859,B859="Stray",E859+6,B859="Stray w/identification",E859+11,B859="Bite",E859+10,B859="Other",Blank)</f>
        <v>45876</v>
      </c>
      <c r="G859" s="2">
        <v>45877</v>
      </c>
      <c r="H859" s="5">
        <f t="shared" si="49"/>
        <v>7</v>
      </c>
      <c r="I859" s="5">
        <f t="shared" si="50"/>
        <v>1</v>
      </c>
      <c r="J859" s="2" t="s">
        <v>31</v>
      </c>
      <c r="K859" s="2" t="s">
        <v>587</v>
      </c>
      <c r="AD859" s="33" t="str">
        <f t="shared" si="48"/>
        <v>Friday</v>
      </c>
    </row>
    <row r="860" spans="1:30" x14ac:dyDescent="0.2">
      <c r="A860" s="3">
        <v>41396</v>
      </c>
      <c r="B860" s="2" t="s">
        <v>38</v>
      </c>
      <c r="C860" t="s">
        <v>7</v>
      </c>
      <c r="D860" t="s">
        <v>208</v>
      </c>
      <c r="E860" s="2">
        <v>45870</v>
      </c>
      <c r="F860" s="2" cm="1">
        <f t="array" ref="F860">_xlfn.IFS(B860="Owner Surrender",E860,B860="Stray",E860+6,B860="Stray w/identification",E860+11,B860="Bite",E860+10,B860="Other",Blank)</f>
        <v>45876</v>
      </c>
      <c r="G860" s="2">
        <v>45877</v>
      </c>
      <c r="H860" s="5">
        <f t="shared" si="49"/>
        <v>7</v>
      </c>
      <c r="I860" s="5">
        <f t="shared" si="50"/>
        <v>1</v>
      </c>
      <c r="J860" s="2" t="s">
        <v>31</v>
      </c>
      <c r="K860" s="2" t="s">
        <v>587</v>
      </c>
      <c r="AD860" s="33" t="str">
        <f t="shared" si="48"/>
        <v>Friday</v>
      </c>
    </row>
    <row r="861" spans="1:30" x14ac:dyDescent="0.2">
      <c r="A861" s="3">
        <v>41397</v>
      </c>
      <c r="B861" s="2" t="s">
        <v>38</v>
      </c>
      <c r="C861" t="s">
        <v>7</v>
      </c>
      <c r="D861" t="s">
        <v>208</v>
      </c>
      <c r="E861" s="2">
        <v>45870</v>
      </c>
      <c r="F861" s="2" cm="1">
        <f t="array" ref="F861">_xlfn.IFS(B861="Owner Surrender",E861,B861="Stray",E861+6,B861="Stray w/identification",E861+11,B861="Bite",E861+10,B861="Other",Blank)</f>
        <v>45876</v>
      </c>
      <c r="G861" s="2">
        <v>45876</v>
      </c>
      <c r="H861" s="5">
        <f t="shared" si="49"/>
        <v>6</v>
      </c>
      <c r="I861" s="5">
        <f t="shared" si="50"/>
        <v>0</v>
      </c>
      <c r="J861" s="2" t="s">
        <v>31</v>
      </c>
      <c r="K861" s="2" t="s">
        <v>587</v>
      </c>
      <c r="AD861" s="33" t="str">
        <f t="shared" si="48"/>
        <v>Thursday</v>
      </c>
    </row>
    <row r="862" spans="1:30" x14ac:dyDescent="0.2">
      <c r="A862" s="3">
        <v>41398</v>
      </c>
      <c r="B862" s="2" t="s">
        <v>38</v>
      </c>
      <c r="C862" t="s">
        <v>7</v>
      </c>
      <c r="D862" t="s">
        <v>207</v>
      </c>
      <c r="E862" s="2">
        <v>45870</v>
      </c>
      <c r="F862" s="2" cm="1">
        <f t="array" ref="F862">_xlfn.IFS(B862="Owner Surrender",E862,B862="Stray",E862+6,B862="Stray w/identification",E862+11,B862="Bite",E862+10,B862="Other",Blank)</f>
        <v>45876</v>
      </c>
      <c r="G862" s="2">
        <v>45876</v>
      </c>
      <c r="H862" s="5">
        <f t="shared" si="49"/>
        <v>6</v>
      </c>
      <c r="I862" s="5">
        <f t="shared" si="50"/>
        <v>0</v>
      </c>
      <c r="J862" s="2" t="s">
        <v>31</v>
      </c>
      <c r="K862" s="2" t="s">
        <v>24</v>
      </c>
      <c r="AD862" s="33" t="str">
        <f t="shared" si="48"/>
        <v>Thursday</v>
      </c>
    </row>
    <row r="863" spans="1:30" x14ac:dyDescent="0.2">
      <c r="A863" s="3">
        <v>41400</v>
      </c>
      <c r="B863" s="2" t="s">
        <v>38</v>
      </c>
      <c r="C863" t="s">
        <v>7</v>
      </c>
      <c r="D863" t="s">
        <v>208</v>
      </c>
      <c r="E863" s="2">
        <v>45871</v>
      </c>
      <c r="F863" s="2" cm="1">
        <f t="array" ref="F863">_xlfn.IFS(B863="Owner Surrender",E863,B863="Stray",E863+6,B863="Stray w/identification",E863+11,B863="Bite",E863+10,B863="Other",Blank)</f>
        <v>45877</v>
      </c>
      <c r="G863" s="2">
        <v>45885</v>
      </c>
      <c r="H863" s="5">
        <f t="shared" si="49"/>
        <v>14</v>
      </c>
      <c r="I863" s="5">
        <f t="shared" si="50"/>
        <v>8</v>
      </c>
      <c r="J863" s="2" t="s">
        <v>11</v>
      </c>
      <c r="K863" s="2" t="s">
        <v>586</v>
      </c>
      <c r="AD863" s="33" t="str">
        <f t="shared" si="48"/>
        <v>Saturday</v>
      </c>
    </row>
    <row r="864" spans="1:30" x14ac:dyDescent="0.2">
      <c r="A864" s="3">
        <v>41401</v>
      </c>
      <c r="B864" s="2" t="s">
        <v>38</v>
      </c>
      <c r="C864" t="s">
        <v>7</v>
      </c>
      <c r="D864" t="s">
        <v>207</v>
      </c>
      <c r="E864" s="2">
        <v>45871</v>
      </c>
      <c r="F864" s="2" cm="1">
        <f t="array" ref="F864">_xlfn.IFS(B864="Owner Surrender",E864,B864="Stray",E864+6,B864="Stray w/identification",E864+11,B864="Bite",E864+10,B864="Other",Blank)</f>
        <v>45877</v>
      </c>
      <c r="G864" s="2">
        <v>45882</v>
      </c>
      <c r="H864" s="5">
        <f t="shared" si="49"/>
        <v>11</v>
      </c>
      <c r="I864" s="5">
        <f t="shared" si="50"/>
        <v>5</v>
      </c>
      <c r="J864" s="2" t="s">
        <v>31</v>
      </c>
      <c r="K864" s="2" t="s">
        <v>24</v>
      </c>
      <c r="AD864" s="33" t="str">
        <f t="shared" si="48"/>
        <v>Wednesday</v>
      </c>
    </row>
    <row r="865" spans="1:30" x14ac:dyDescent="0.2">
      <c r="A865" s="3">
        <v>41402</v>
      </c>
      <c r="B865" s="2" t="s">
        <v>38</v>
      </c>
      <c r="C865" t="s">
        <v>7</v>
      </c>
      <c r="D865" t="s">
        <v>207</v>
      </c>
      <c r="E865" s="2">
        <v>45871</v>
      </c>
      <c r="F865" s="2" cm="1">
        <f t="array" ref="F865">_xlfn.IFS(B865="Owner Surrender",E865,B865="Stray",E865+6,B865="Stray w/identification",E865+11,B865="Bite",E865+10,B865="Other",Blank)</f>
        <v>45877</v>
      </c>
      <c r="G865" s="2">
        <v>45881</v>
      </c>
      <c r="H865" s="5">
        <f t="shared" si="49"/>
        <v>10</v>
      </c>
      <c r="I865" s="5">
        <f t="shared" si="50"/>
        <v>4</v>
      </c>
      <c r="J865" s="2" t="s">
        <v>31</v>
      </c>
      <c r="K865" s="2" t="s">
        <v>587</v>
      </c>
      <c r="AD865" s="33" t="str">
        <f t="shared" si="48"/>
        <v>Tuesday</v>
      </c>
    </row>
    <row r="866" spans="1:30" x14ac:dyDescent="0.2">
      <c r="A866" s="3">
        <v>41404</v>
      </c>
      <c r="B866" s="2" t="s">
        <v>43</v>
      </c>
      <c r="C866" t="s">
        <v>7</v>
      </c>
      <c r="D866" t="s">
        <v>208</v>
      </c>
      <c r="E866" s="2">
        <v>45871</v>
      </c>
      <c r="F866" s="2" t="e" cm="1">
        <f t="array" ref="F866">_xlfn.IFS(B866="Owner Surrender",E866,B866="Stray",E866+6,B866="Stray w/identification",E866+11,B866="Bite",E866+10,B866="Other",Blank)</f>
        <v>#N/A</v>
      </c>
      <c r="G866" s="2">
        <v>45879</v>
      </c>
      <c r="H866" s="5">
        <f t="shared" si="49"/>
        <v>8</v>
      </c>
      <c r="I866" s="5" t="e">
        <f t="shared" si="50"/>
        <v>#N/A</v>
      </c>
      <c r="J866" s="2" t="s">
        <v>28</v>
      </c>
      <c r="K866" s="2" t="s">
        <v>586</v>
      </c>
      <c r="M866" s="9" t="s">
        <v>637</v>
      </c>
      <c r="AD866" s="33" t="str">
        <f t="shared" si="48"/>
        <v>Sunday</v>
      </c>
    </row>
    <row r="867" spans="1:30" x14ac:dyDescent="0.2">
      <c r="A867" s="3">
        <v>41405</v>
      </c>
      <c r="B867" s="2" t="s">
        <v>43</v>
      </c>
      <c r="C867" t="s">
        <v>7</v>
      </c>
      <c r="D867" t="s">
        <v>208</v>
      </c>
      <c r="E867" s="2">
        <v>45871</v>
      </c>
      <c r="F867" s="2" t="e" cm="1">
        <f t="array" ref="F867">_xlfn.IFS(B867="Owner Surrender",E867,B867="Stray",E867+6,B867="Stray w/identification",E867+11,B867="Bite",E867+10,B867="Other",Blank)</f>
        <v>#N/A</v>
      </c>
      <c r="G867" s="2">
        <v>45879</v>
      </c>
      <c r="H867" s="5">
        <f t="shared" si="49"/>
        <v>8</v>
      </c>
      <c r="I867" s="5" t="e">
        <f t="shared" si="50"/>
        <v>#N/A</v>
      </c>
      <c r="J867" s="2" t="s">
        <v>28</v>
      </c>
      <c r="K867" s="2" t="s">
        <v>586</v>
      </c>
      <c r="M867" s="9" t="s">
        <v>637</v>
      </c>
      <c r="AD867" s="33" t="str">
        <f t="shared" si="48"/>
        <v>Sunday</v>
      </c>
    </row>
    <row r="868" spans="1:30" x14ac:dyDescent="0.2">
      <c r="A868" s="3">
        <v>41406</v>
      </c>
      <c r="B868" s="2" t="s">
        <v>43</v>
      </c>
      <c r="C868" t="s">
        <v>7</v>
      </c>
      <c r="D868" t="s">
        <v>208</v>
      </c>
      <c r="E868" s="2">
        <v>45871</v>
      </c>
      <c r="F868" s="2" t="e" cm="1">
        <f t="array" ref="F868">_xlfn.IFS(B868="Owner Surrender",E868,B868="Stray",E868+6,B868="Stray w/identification",E868+11,B868="Bite",E868+10,B868="Other",Blank)</f>
        <v>#N/A</v>
      </c>
      <c r="G868" s="2">
        <v>45881</v>
      </c>
      <c r="H868" s="5">
        <f t="shared" si="49"/>
        <v>10</v>
      </c>
      <c r="I868" s="5" t="e">
        <f t="shared" si="50"/>
        <v>#N/A</v>
      </c>
      <c r="J868" s="2" t="s">
        <v>31</v>
      </c>
      <c r="K868" s="2" t="s">
        <v>588</v>
      </c>
      <c r="M868" s="9" t="s">
        <v>638</v>
      </c>
      <c r="AD868" s="33" t="str">
        <f t="shared" si="48"/>
        <v>Tuesday</v>
      </c>
    </row>
    <row r="869" spans="1:30" x14ac:dyDescent="0.2">
      <c r="A869" s="3">
        <v>41407</v>
      </c>
      <c r="B869" s="2" t="s">
        <v>43</v>
      </c>
      <c r="C869" t="s">
        <v>7</v>
      </c>
      <c r="D869" t="s">
        <v>208</v>
      </c>
      <c r="E869" s="2">
        <v>45871</v>
      </c>
      <c r="F869" s="2" t="e" cm="1">
        <f t="array" ref="F869">_xlfn.IFS(B869="Owner Surrender",E869,B869="Stray",E869+6,B869="Stray w/identification",E869+11,B869="Bite",E869+10,B869="Other",Blank)</f>
        <v>#N/A</v>
      </c>
      <c r="G869" s="2">
        <v>45879</v>
      </c>
      <c r="H869" s="5">
        <f t="shared" si="49"/>
        <v>8</v>
      </c>
      <c r="I869" s="5" t="e">
        <f t="shared" si="50"/>
        <v>#N/A</v>
      </c>
      <c r="J869" s="2" t="s">
        <v>31</v>
      </c>
      <c r="K869" s="2" t="s">
        <v>587</v>
      </c>
      <c r="M869" s="9" t="s">
        <v>637</v>
      </c>
      <c r="AD869" s="33" t="str">
        <f t="shared" si="48"/>
        <v>Sunday</v>
      </c>
    </row>
    <row r="870" spans="1:30" x14ac:dyDescent="0.2">
      <c r="A870" s="3">
        <v>41408</v>
      </c>
      <c r="B870" s="2" t="s">
        <v>43</v>
      </c>
      <c r="C870" t="s">
        <v>7</v>
      </c>
      <c r="D870" t="s">
        <v>208</v>
      </c>
      <c r="E870" s="2">
        <v>45871</v>
      </c>
      <c r="F870" s="2" t="e" cm="1">
        <f t="array" ref="F870">_xlfn.IFS(B870="Owner Surrender",E870,B870="Stray",E870+6,B870="Stray w/identification",E870+11,B870="Bite",E870+10,B870="Other",Blank)</f>
        <v>#N/A</v>
      </c>
      <c r="G870" s="2">
        <v>45879</v>
      </c>
      <c r="H870" s="5">
        <f t="shared" si="49"/>
        <v>8</v>
      </c>
      <c r="I870" s="5" t="e">
        <f t="shared" si="50"/>
        <v>#N/A</v>
      </c>
      <c r="J870" s="2" t="s">
        <v>31</v>
      </c>
      <c r="K870" s="2" t="s">
        <v>588</v>
      </c>
      <c r="M870" s="9" t="s">
        <v>637</v>
      </c>
      <c r="AD870" s="33" t="str">
        <f t="shared" si="48"/>
        <v>Sunday</v>
      </c>
    </row>
    <row r="871" spans="1:30" x14ac:dyDescent="0.2">
      <c r="A871" s="3">
        <v>41409</v>
      </c>
      <c r="B871" s="2" t="s">
        <v>43</v>
      </c>
      <c r="C871" t="s">
        <v>7</v>
      </c>
      <c r="D871" t="s">
        <v>208</v>
      </c>
      <c r="E871" s="2">
        <v>45871</v>
      </c>
      <c r="F871" s="2" t="e" cm="1">
        <f t="array" ref="F871">_xlfn.IFS(B871="Owner Surrender",E871,B871="Stray",E871+6,B871="Stray w/identification",E871+11,B871="Bite",E871+10,B871="Other",Blank)</f>
        <v>#N/A</v>
      </c>
      <c r="G871" s="2">
        <v>45878</v>
      </c>
      <c r="H871" s="5">
        <f t="shared" si="49"/>
        <v>7</v>
      </c>
      <c r="I871" s="5" t="e">
        <f t="shared" si="50"/>
        <v>#N/A</v>
      </c>
      <c r="J871" s="2" t="s">
        <v>28</v>
      </c>
      <c r="K871" s="2" t="s">
        <v>586</v>
      </c>
      <c r="M871" s="9" t="s">
        <v>639</v>
      </c>
      <c r="AD871" s="33" t="str">
        <f t="shared" si="48"/>
        <v>Saturday</v>
      </c>
    </row>
    <row r="872" spans="1:30" x14ac:dyDescent="0.2">
      <c r="A872" s="3">
        <v>41416</v>
      </c>
      <c r="B872" s="2" t="s">
        <v>38</v>
      </c>
      <c r="C872" t="s">
        <v>7</v>
      </c>
      <c r="D872" t="s">
        <v>208</v>
      </c>
      <c r="E872" s="2">
        <v>45872</v>
      </c>
      <c r="F872" s="2" cm="1">
        <f t="array" ref="F872">_xlfn.IFS(B872="Owner Surrender",E872,B872="Stray",E872+6,B872="Stray w/identification",E872+11,B872="Bite",E872+10,B872="Other",Blank)</f>
        <v>45878</v>
      </c>
      <c r="G872" s="2">
        <v>45876</v>
      </c>
      <c r="H872" s="5">
        <f t="shared" si="49"/>
        <v>4</v>
      </c>
      <c r="I872" s="5">
        <f t="shared" si="50"/>
        <v>-2</v>
      </c>
      <c r="J872" s="2" t="s">
        <v>31</v>
      </c>
      <c r="K872" s="2" t="s">
        <v>143</v>
      </c>
      <c r="M872" s="9" t="s">
        <v>640</v>
      </c>
      <c r="AD872" s="33" t="str">
        <f t="shared" si="48"/>
        <v>Thursday</v>
      </c>
    </row>
    <row r="873" spans="1:30" x14ac:dyDescent="0.2">
      <c r="A873" s="3">
        <v>41417</v>
      </c>
      <c r="B873" s="2" t="s">
        <v>38</v>
      </c>
      <c r="C873" t="s">
        <v>7</v>
      </c>
      <c r="D873" t="s">
        <v>208</v>
      </c>
      <c r="E873" s="2">
        <v>45873</v>
      </c>
      <c r="F873" s="2" cm="1">
        <f t="array" ref="F873">_xlfn.IFS(B873="Owner Surrender",E873,B873="Stray",E873+6,B873="Stray w/identification",E873+11,B873="Bite",E873+10,B873="Other",Blank)</f>
        <v>45879</v>
      </c>
      <c r="G873" s="2">
        <v>45881</v>
      </c>
      <c r="H873" s="5">
        <f t="shared" si="49"/>
        <v>8</v>
      </c>
      <c r="I873" s="5">
        <f t="shared" si="50"/>
        <v>2</v>
      </c>
      <c r="J873" s="2" t="s">
        <v>31</v>
      </c>
      <c r="K873" s="2" t="s">
        <v>587</v>
      </c>
      <c r="AD873" s="33" t="str">
        <f t="shared" si="48"/>
        <v>Tuesday</v>
      </c>
    </row>
    <row r="874" spans="1:30" x14ac:dyDescent="0.2">
      <c r="A874" s="3">
        <v>41418</v>
      </c>
      <c r="B874" s="2" t="s">
        <v>38</v>
      </c>
      <c r="C874" t="s">
        <v>7</v>
      </c>
      <c r="D874" t="s">
        <v>208</v>
      </c>
      <c r="E874" s="2">
        <v>45872</v>
      </c>
      <c r="F874" s="2" cm="1">
        <f t="array" ref="F874">_xlfn.IFS(B874="Owner Surrender",E874,B874="Stray",E874+6,B874="Stray w/identification",E874+11,B874="Bite",E874+10,B874="Other",Blank)</f>
        <v>45878</v>
      </c>
      <c r="G874" s="2">
        <v>45876</v>
      </c>
      <c r="H874" s="5">
        <f t="shared" si="49"/>
        <v>4</v>
      </c>
      <c r="I874" s="5">
        <f t="shared" si="50"/>
        <v>-2</v>
      </c>
      <c r="J874" s="2" t="s">
        <v>31</v>
      </c>
      <c r="K874" s="2" t="s">
        <v>143</v>
      </c>
      <c r="M874" s="9" t="s">
        <v>640</v>
      </c>
      <c r="AD874" s="33" t="str">
        <f t="shared" si="48"/>
        <v>Thursday</v>
      </c>
    </row>
    <row r="875" spans="1:30" x14ac:dyDescent="0.2">
      <c r="A875" s="3">
        <v>41419</v>
      </c>
      <c r="B875" s="2" t="s">
        <v>38</v>
      </c>
      <c r="C875" t="s">
        <v>7</v>
      </c>
      <c r="D875" t="s">
        <v>208</v>
      </c>
      <c r="E875" s="2">
        <v>45872</v>
      </c>
      <c r="F875" s="2" cm="1">
        <f t="array" ref="F875">_xlfn.IFS(B875="Owner Surrender",E875,B875="Stray",E875+6,B875="Stray w/identification",E875+11,B875="Bite",E875+10,B875="Other",Blank)</f>
        <v>45878</v>
      </c>
      <c r="G875" s="2">
        <v>45876</v>
      </c>
      <c r="H875" s="5">
        <f t="shared" si="49"/>
        <v>4</v>
      </c>
      <c r="I875" s="5">
        <f t="shared" si="50"/>
        <v>-2</v>
      </c>
      <c r="J875" s="2" t="s">
        <v>31</v>
      </c>
      <c r="K875" s="2" t="s">
        <v>143</v>
      </c>
      <c r="AD875" s="33" t="str">
        <f t="shared" si="48"/>
        <v>Thursday</v>
      </c>
    </row>
    <row r="876" spans="1:30" x14ac:dyDescent="0.2">
      <c r="A876" s="3">
        <v>41420</v>
      </c>
      <c r="B876" s="2" t="s">
        <v>38</v>
      </c>
      <c r="C876" t="s">
        <v>7</v>
      </c>
      <c r="D876" t="s">
        <v>208</v>
      </c>
      <c r="E876" s="2">
        <v>45872</v>
      </c>
      <c r="F876" s="2" cm="1">
        <f t="array" ref="F876">_xlfn.IFS(B876="Owner Surrender",E876,B876="Stray",E876+6,B876="Stray w/identification",E876+11,B876="Bite",E876+10,B876="Other",Blank)</f>
        <v>45878</v>
      </c>
      <c r="G876" s="2">
        <v>45876</v>
      </c>
      <c r="H876" s="5">
        <f t="shared" ref="H876:H907" si="51">+G876-E876</f>
        <v>4</v>
      </c>
      <c r="I876" s="5">
        <f t="shared" si="50"/>
        <v>-2</v>
      </c>
      <c r="J876" s="2" t="s">
        <v>31</v>
      </c>
      <c r="K876" s="2" t="s">
        <v>143</v>
      </c>
      <c r="AD876" s="33" t="str">
        <f t="shared" si="48"/>
        <v>Thursday</v>
      </c>
    </row>
    <row r="877" spans="1:30" x14ac:dyDescent="0.2">
      <c r="A877" s="3">
        <v>41421</v>
      </c>
      <c r="B877" s="2" t="s">
        <v>38</v>
      </c>
      <c r="C877" t="s">
        <v>7</v>
      </c>
      <c r="D877" t="s">
        <v>208</v>
      </c>
      <c r="E877" s="2">
        <v>45872</v>
      </c>
      <c r="F877" s="2" cm="1">
        <f t="array" ref="F877">_xlfn.IFS(B877="Owner Surrender",E877,B877="Stray",E877+6,B877="Stray w/identification",E877+11,B877="Bite",E877+10,B877="Other",Blank)</f>
        <v>45878</v>
      </c>
      <c r="G877" s="2">
        <v>45876</v>
      </c>
      <c r="H877" s="5">
        <f t="shared" si="51"/>
        <v>4</v>
      </c>
      <c r="I877" s="5">
        <f t="shared" si="50"/>
        <v>-2</v>
      </c>
      <c r="J877" s="2" t="s">
        <v>31</v>
      </c>
      <c r="K877" s="2" t="s">
        <v>143</v>
      </c>
      <c r="AD877" s="33" t="str">
        <f t="shared" si="48"/>
        <v>Thursday</v>
      </c>
    </row>
    <row r="878" spans="1:30" x14ac:dyDescent="0.2">
      <c r="A878" s="3">
        <v>41422</v>
      </c>
      <c r="B878" s="2" t="s">
        <v>38</v>
      </c>
      <c r="C878" t="s">
        <v>7</v>
      </c>
      <c r="D878" t="s">
        <v>208</v>
      </c>
      <c r="E878" s="2">
        <v>45872</v>
      </c>
      <c r="F878" s="2" cm="1">
        <f t="array" ref="F878">_xlfn.IFS(B878="Owner Surrender",E878,B878="Stray",E878+6,B878="Stray w/identification",E878+11,B878="Bite",E878+10,B878="Other",Blank)</f>
        <v>45878</v>
      </c>
      <c r="G878" s="2">
        <v>45876</v>
      </c>
      <c r="H878" s="5">
        <f t="shared" si="51"/>
        <v>4</v>
      </c>
      <c r="I878" s="5">
        <f t="shared" si="50"/>
        <v>-2</v>
      </c>
      <c r="J878" s="2" t="s">
        <v>31</v>
      </c>
      <c r="K878" s="2" t="s">
        <v>143</v>
      </c>
      <c r="AD878" s="33" t="str">
        <f t="shared" si="48"/>
        <v>Thursday</v>
      </c>
    </row>
    <row r="879" spans="1:30" x14ac:dyDescent="0.2">
      <c r="A879" s="3">
        <v>41427</v>
      </c>
      <c r="B879" s="2" t="s">
        <v>36</v>
      </c>
      <c r="C879" t="s">
        <v>7</v>
      </c>
      <c r="D879" t="s">
        <v>207</v>
      </c>
      <c r="E879" s="2">
        <v>45873</v>
      </c>
      <c r="F879" s="2" cm="1">
        <f t="array" ref="F879">_xlfn.IFS(B879="Owner Surrender",E879,B879="Stray",E879+6,B879="Stray w/identification",E879+11,B879="Bite",E879+10,B879="Other",Blank)</f>
        <v>45873</v>
      </c>
      <c r="G879" s="2">
        <v>45874</v>
      </c>
      <c r="H879" s="5">
        <f t="shared" si="51"/>
        <v>1</v>
      </c>
      <c r="I879" s="5">
        <f t="shared" si="50"/>
        <v>1</v>
      </c>
      <c r="J879" s="2" t="s">
        <v>31</v>
      </c>
      <c r="K879" s="2" t="s">
        <v>587</v>
      </c>
      <c r="AD879" s="33" t="str">
        <f t="shared" si="48"/>
        <v>Tuesday</v>
      </c>
    </row>
    <row r="880" spans="1:30" x14ac:dyDescent="0.2">
      <c r="A880" s="3">
        <v>41428</v>
      </c>
      <c r="B880" s="2" t="s">
        <v>38</v>
      </c>
      <c r="C880" t="s">
        <v>7</v>
      </c>
      <c r="D880" t="s">
        <v>208</v>
      </c>
      <c r="E880" s="2">
        <v>45873</v>
      </c>
      <c r="F880" s="2" cm="1">
        <f t="array" ref="F880">_xlfn.IFS(B880="Owner Surrender",E880,B880="Stray",E880+6,B880="Stray w/identification",E880+11,B880="Bite",E880+10,B880="Other",Blank)</f>
        <v>45879</v>
      </c>
      <c r="G880" s="2">
        <v>45882</v>
      </c>
      <c r="H880" s="5">
        <f t="shared" si="51"/>
        <v>9</v>
      </c>
      <c r="I880" s="5">
        <f t="shared" si="50"/>
        <v>3</v>
      </c>
      <c r="J880" s="2" t="s">
        <v>11</v>
      </c>
      <c r="K880" s="2" t="s">
        <v>586</v>
      </c>
      <c r="AD880" s="33" t="str">
        <f t="shared" si="48"/>
        <v>Wednesday</v>
      </c>
    </row>
    <row r="881" spans="1:30" x14ac:dyDescent="0.2">
      <c r="A881" s="3">
        <v>41429</v>
      </c>
      <c r="B881" s="2" t="s">
        <v>38</v>
      </c>
      <c r="C881" t="s">
        <v>7</v>
      </c>
      <c r="D881" t="s">
        <v>208</v>
      </c>
      <c r="E881" s="2">
        <v>45873</v>
      </c>
      <c r="F881" s="2" cm="1">
        <f t="array" ref="F881">_xlfn.IFS(B881="Owner Surrender",E881,B881="Stray",E881+6,B881="Stray w/identification",E881+11,B881="Bite",E881+10,B881="Other",Blank)</f>
        <v>45879</v>
      </c>
      <c r="G881" s="2">
        <v>45883</v>
      </c>
      <c r="H881" s="5">
        <f t="shared" si="51"/>
        <v>10</v>
      </c>
      <c r="I881" s="5">
        <f t="shared" si="50"/>
        <v>4</v>
      </c>
      <c r="J881" s="2" t="s">
        <v>31</v>
      </c>
      <c r="K881" s="2" t="s">
        <v>587</v>
      </c>
      <c r="AD881" s="33" t="str">
        <f t="shared" si="48"/>
        <v>Thursday</v>
      </c>
    </row>
    <row r="882" spans="1:30" x14ac:dyDescent="0.2">
      <c r="A882" s="3">
        <v>41430</v>
      </c>
      <c r="B882" s="2" t="s">
        <v>38</v>
      </c>
      <c r="C882" t="s">
        <v>7</v>
      </c>
      <c r="D882" t="s">
        <v>208</v>
      </c>
      <c r="E882" s="2">
        <v>45873</v>
      </c>
      <c r="F882" s="2" cm="1">
        <f t="array" ref="F882">_xlfn.IFS(B882="Owner Surrender",E882,B882="Stray",E882+6,B882="Stray w/identification",E882+11,B882="Bite",E882+10,B882="Other",Blank)</f>
        <v>45879</v>
      </c>
      <c r="G882" s="2">
        <v>45883</v>
      </c>
      <c r="H882" s="5">
        <f t="shared" si="51"/>
        <v>10</v>
      </c>
      <c r="I882" s="5">
        <f t="shared" si="50"/>
        <v>4</v>
      </c>
      <c r="J882" s="2" t="s">
        <v>31</v>
      </c>
      <c r="K882" s="2" t="s">
        <v>587</v>
      </c>
      <c r="AD882" s="33" t="str">
        <f t="shared" si="48"/>
        <v>Thursday</v>
      </c>
    </row>
    <row r="883" spans="1:30" x14ac:dyDescent="0.2">
      <c r="A883" s="3">
        <v>41431</v>
      </c>
      <c r="B883" s="2" t="s">
        <v>38</v>
      </c>
      <c r="C883" t="s">
        <v>7</v>
      </c>
      <c r="D883" t="s">
        <v>208</v>
      </c>
      <c r="E883" s="2">
        <v>45873</v>
      </c>
      <c r="F883" s="2" cm="1">
        <f t="array" ref="F883">_xlfn.IFS(B883="Owner Surrender",E883,B883="Stray",E883+6,B883="Stray w/identification",E883+11,B883="Bite",E883+10,B883="Other",Blank)</f>
        <v>45879</v>
      </c>
      <c r="G883" s="2">
        <v>45886</v>
      </c>
      <c r="H883" s="5">
        <f t="shared" si="51"/>
        <v>13</v>
      </c>
      <c r="I883" s="5">
        <f t="shared" si="50"/>
        <v>7</v>
      </c>
      <c r="J883" s="2" t="s">
        <v>31</v>
      </c>
      <c r="K883" s="2" t="s">
        <v>587</v>
      </c>
      <c r="AD883" s="33" t="str">
        <f t="shared" si="48"/>
        <v>Sunday</v>
      </c>
    </row>
    <row r="884" spans="1:30" x14ac:dyDescent="0.2">
      <c r="A884" s="3">
        <v>41432</v>
      </c>
      <c r="B884" s="2" t="s">
        <v>36</v>
      </c>
      <c r="C884" t="s">
        <v>7</v>
      </c>
      <c r="D884" t="s">
        <v>208</v>
      </c>
      <c r="E884" s="2">
        <v>45873</v>
      </c>
      <c r="F884" s="2" cm="1">
        <f t="array" ref="F884">_xlfn.IFS(B884="Owner Surrender",E884,B884="Stray",E884+6,B884="Stray w/identification",E884+11,B884="Bite",E884+10,B884="Other",Blank)</f>
        <v>45873</v>
      </c>
      <c r="G884" s="2">
        <v>45874</v>
      </c>
      <c r="H884" s="5">
        <f t="shared" si="51"/>
        <v>1</v>
      </c>
      <c r="I884" s="5">
        <f t="shared" si="50"/>
        <v>1</v>
      </c>
      <c r="J884" s="2" t="s">
        <v>31</v>
      </c>
      <c r="K884" s="2" t="s">
        <v>24</v>
      </c>
      <c r="AD884" s="33" t="str">
        <f t="shared" si="48"/>
        <v>Tuesday</v>
      </c>
    </row>
    <row r="885" spans="1:30" x14ac:dyDescent="0.2">
      <c r="A885" s="3">
        <v>41433</v>
      </c>
      <c r="B885" s="2" t="s">
        <v>36</v>
      </c>
      <c r="C885" t="s">
        <v>7</v>
      </c>
      <c r="D885" t="s">
        <v>208</v>
      </c>
      <c r="E885" s="2">
        <v>45873</v>
      </c>
      <c r="F885" s="2" cm="1">
        <f t="array" ref="F885">_xlfn.IFS(B885="Owner Surrender",E885,B885="Stray",E885+6,B885="Stray w/identification",E885+11,B885="Bite",E885+10,B885="Other",Blank)</f>
        <v>45873</v>
      </c>
      <c r="G885" s="2">
        <v>45874</v>
      </c>
      <c r="H885" s="5">
        <f t="shared" si="51"/>
        <v>1</v>
      </c>
      <c r="I885" s="5">
        <f t="shared" si="50"/>
        <v>1</v>
      </c>
      <c r="J885" s="2" t="s">
        <v>31</v>
      </c>
      <c r="K885" s="2" t="s">
        <v>24</v>
      </c>
      <c r="AD885" s="33" t="str">
        <f t="shared" si="48"/>
        <v>Tuesday</v>
      </c>
    </row>
    <row r="886" spans="1:30" x14ac:dyDescent="0.2">
      <c r="A886" s="3">
        <v>41434</v>
      </c>
      <c r="B886" s="2" t="s">
        <v>36</v>
      </c>
      <c r="C886" t="s">
        <v>7</v>
      </c>
      <c r="D886" t="s">
        <v>208</v>
      </c>
      <c r="E886" s="2">
        <v>45873</v>
      </c>
      <c r="F886" s="2" cm="1">
        <f t="array" ref="F886">_xlfn.IFS(B886="Owner Surrender",E886,B886="Stray",E886+6,B886="Stray w/identification",E886+11,B886="Bite",E886+10,B886="Other",Blank)</f>
        <v>45873</v>
      </c>
      <c r="G886" s="2">
        <v>45874</v>
      </c>
      <c r="H886" s="5">
        <f t="shared" si="51"/>
        <v>1</v>
      </c>
      <c r="I886" s="5">
        <f t="shared" si="50"/>
        <v>1</v>
      </c>
      <c r="J886" s="2" t="s">
        <v>31</v>
      </c>
      <c r="K886" s="2" t="s">
        <v>24</v>
      </c>
      <c r="AD886" s="33" t="str">
        <f t="shared" si="48"/>
        <v>Tuesday</v>
      </c>
    </row>
    <row r="887" spans="1:30" x14ac:dyDescent="0.2">
      <c r="A887" s="3">
        <v>41435</v>
      </c>
      <c r="B887" s="2" t="s">
        <v>36</v>
      </c>
      <c r="C887" t="s">
        <v>7</v>
      </c>
      <c r="D887" t="s">
        <v>208</v>
      </c>
      <c r="E887" s="2">
        <v>45873</v>
      </c>
      <c r="F887" s="2" cm="1">
        <f t="array" ref="F887">_xlfn.IFS(B887="Owner Surrender",E887,B887="Stray",E887+6,B887="Stray w/identification",E887+11,B887="Bite",E887+10,B887="Other",Blank)</f>
        <v>45873</v>
      </c>
      <c r="G887" s="2">
        <v>45874</v>
      </c>
      <c r="H887" s="5">
        <f t="shared" si="51"/>
        <v>1</v>
      </c>
      <c r="I887" s="5">
        <f t="shared" si="50"/>
        <v>1</v>
      </c>
      <c r="J887" s="2" t="s">
        <v>31</v>
      </c>
      <c r="K887" s="2" t="s">
        <v>24</v>
      </c>
      <c r="AD887" s="33" t="str">
        <f t="shared" si="48"/>
        <v>Tuesday</v>
      </c>
    </row>
    <row r="888" spans="1:30" x14ac:dyDescent="0.2">
      <c r="A888" s="3">
        <v>41436</v>
      </c>
      <c r="B888" s="2" t="s">
        <v>36</v>
      </c>
      <c r="C888" t="s">
        <v>7</v>
      </c>
      <c r="D888" t="s">
        <v>208</v>
      </c>
      <c r="E888" s="2">
        <v>45873</v>
      </c>
      <c r="F888" s="2" cm="1">
        <f t="array" ref="F888">_xlfn.IFS(B888="Owner Surrender",E888,B888="Stray",E888+6,B888="Stray w/identification",E888+11,B888="Bite",E888+10,B888="Other",Blank)</f>
        <v>45873</v>
      </c>
      <c r="G888" s="2">
        <v>45874</v>
      </c>
      <c r="H888" s="5">
        <f t="shared" si="51"/>
        <v>1</v>
      </c>
      <c r="I888" s="5">
        <f t="shared" si="50"/>
        <v>1</v>
      </c>
      <c r="J888" s="2" t="s">
        <v>31</v>
      </c>
      <c r="K888" s="2" t="s">
        <v>24</v>
      </c>
      <c r="AD888" s="33" t="str">
        <f t="shared" si="48"/>
        <v>Tuesday</v>
      </c>
    </row>
    <row r="889" spans="1:30" x14ac:dyDescent="0.2">
      <c r="A889" s="3">
        <v>41442</v>
      </c>
      <c r="B889" s="2" t="s">
        <v>36</v>
      </c>
      <c r="C889" t="s">
        <v>7</v>
      </c>
      <c r="D889" t="s">
        <v>207</v>
      </c>
      <c r="E889" s="2">
        <v>45873</v>
      </c>
      <c r="F889" s="2" cm="1">
        <f t="array" ref="F889">_xlfn.IFS(B889="Owner Surrender",E889,B889="Stray",E889+6,B889="Stray w/identification",E889+11,B889="Bite",E889+10,B889="Other",Blank)</f>
        <v>45873</v>
      </c>
      <c r="G889" s="2">
        <v>45874</v>
      </c>
      <c r="H889" s="5">
        <f t="shared" si="51"/>
        <v>1</v>
      </c>
      <c r="I889" s="5">
        <f t="shared" si="50"/>
        <v>1</v>
      </c>
      <c r="J889" s="2" t="s">
        <v>31</v>
      </c>
      <c r="K889" s="2" t="s">
        <v>587</v>
      </c>
      <c r="AD889" s="33" t="str">
        <f t="shared" si="48"/>
        <v>Tuesday</v>
      </c>
    </row>
    <row r="890" spans="1:30" x14ac:dyDescent="0.2">
      <c r="A890" s="3">
        <v>41446</v>
      </c>
      <c r="B890" s="2" t="s">
        <v>38</v>
      </c>
      <c r="C890" t="s">
        <v>7</v>
      </c>
      <c r="D890" t="s">
        <v>208</v>
      </c>
      <c r="E890" s="2">
        <v>45874</v>
      </c>
      <c r="F890" s="2" cm="1">
        <f t="array" ref="F890">_xlfn.IFS(B890="Owner Surrender",E890,B890="Stray",E890+6,B890="Stray w/identification",E890+11,B890="Bite",E890+10,B890="Other",Blank)</f>
        <v>45880</v>
      </c>
      <c r="G890" s="2">
        <v>45877</v>
      </c>
      <c r="H890" s="5">
        <f t="shared" si="51"/>
        <v>3</v>
      </c>
      <c r="I890" s="5">
        <f t="shared" si="50"/>
        <v>-3</v>
      </c>
      <c r="J890" s="2" t="s">
        <v>31</v>
      </c>
      <c r="K890" s="2" t="s">
        <v>143</v>
      </c>
      <c r="AD890" s="33" t="str">
        <f t="shared" si="48"/>
        <v>Friday</v>
      </c>
    </row>
    <row r="891" spans="1:30" x14ac:dyDescent="0.2">
      <c r="A891" s="3">
        <v>41447</v>
      </c>
      <c r="B891" s="2" t="s">
        <v>38</v>
      </c>
      <c r="C891" t="s">
        <v>7</v>
      </c>
      <c r="D891" t="s">
        <v>208</v>
      </c>
      <c r="E891" s="2">
        <v>45874</v>
      </c>
      <c r="F891" s="2" cm="1">
        <f t="array" ref="F891">_xlfn.IFS(B891="Owner Surrender",E891,B891="Stray",E891+6,B891="Stray w/identification",E891+11,B891="Bite",E891+10,B891="Other",Blank)</f>
        <v>45880</v>
      </c>
      <c r="G891" s="2">
        <v>45877</v>
      </c>
      <c r="H891" s="5">
        <f t="shared" si="51"/>
        <v>3</v>
      </c>
      <c r="I891" s="5">
        <f t="shared" si="50"/>
        <v>-3</v>
      </c>
      <c r="J891" s="2" t="s">
        <v>31</v>
      </c>
      <c r="K891" s="2" t="s">
        <v>143</v>
      </c>
      <c r="AD891" s="33" t="str">
        <f t="shared" si="48"/>
        <v>Friday</v>
      </c>
    </row>
    <row r="892" spans="1:30" x14ac:dyDescent="0.2">
      <c r="A892" s="3">
        <v>41448</v>
      </c>
      <c r="B892" s="2" t="s">
        <v>38</v>
      </c>
      <c r="C892" t="s">
        <v>7</v>
      </c>
      <c r="D892" t="s">
        <v>208</v>
      </c>
      <c r="E892" s="2">
        <v>45874</v>
      </c>
      <c r="F892" s="2" cm="1">
        <f t="array" ref="F892">_xlfn.IFS(B892="Owner Surrender",E892,B892="Stray",E892+6,B892="Stray w/identification",E892+11,B892="Bite",E892+10,B892="Other",Blank)</f>
        <v>45880</v>
      </c>
      <c r="G892" s="2">
        <v>45877</v>
      </c>
      <c r="H892" s="5">
        <f t="shared" si="51"/>
        <v>3</v>
      </c>
      <c r="I892" s="5">
        <f t="shared" si="50"/>
        <v>-3</v>
      </c>
      <c r="J892" s="2" t="s">
        <v>31</v>
      </c>
      <c r="K892" s="2" t="s">
        <v>143</v>
      </c>
      <c r="AD892" s="33" t="str">
        <f t="shared" si="48"/>
        <v>Friday</v>
      </c>
    </row>
    <row r="893" spans="1:30" x14ac:dyDescent="0.2">
      <c r="A893" s="3">
        <v>41449</v>
      </c>
      <c r="B893" s="2" t="s">
        <v>38</v>
      </c>
      <c r="C893" t="s">
        <v>7</v>
      </c>
      <c r="D893" t="s">
        <v>208</v>
      </c>
      <c r="E893" s="2">
        <v>45874</v>
      </c>
      <c r="F893" s="2" cm="1">
        <f t="array" ref="F893">_xlfn.IFS(B893="Owner Surrender",E893,B893="Stray",E893+6,B893="Stray w/identification",E893+11,B893="Bite",E893+10,B893="Other",Blank)</f>
        <v>45880</v>
      </c>
      <c r="G893" s="2">
        <v>45874</v>
      </c>
      <c r="H893" s="5">
        <f t="shared" si="51"/>
        <v>0</v>
      </c>
      <c r="I893" s="5">
        <f t="shared" si="50"/>
        <v>-6</v>
      </c>
      <c r="J893" s="2" t="s">
        <v>8</v>
      </c>
      <c r="K893" s="2" t="s">
        <v>586</v>
      </c>
      <c r="AD893" s="33" t="str">
        <f t="shared" si="48"/>
        <v>Tuesday</v>
      </c>
    </row>
    <row r="894" spans="1:30" x14ac:dyDescent="0.2">
      <c r="A894" s="3">
        <v>41450</v>
      </c>
      <c r="B894" s="2" t="s">
        <v>36</v>
      </c>
      <c r="C894" t="s">
        <v>7</v>
      </c>
      <c r="D894" t="s">
        <v>207</v>
      </c>
      <c r="E894" s="2">
        <v>45874</v>
      </c>
      <c r="F894" s="2" cm="1">
        <f t="array" ref="F894">_xlfn.IFS(B894="Owner Surrender",E894,B894="Stray",E894+6,B894="Stray w/identification",E894+11,B894="Bite",E894+10,B894="Other",Blank)</f>
        <v>45874</v>
      </c>
      <c r="G894" s="2">
        <v>45877</v>
      </c>
      <c r="H894" s="5">
        <f t="shared" si="51"/>
        <v>3</v>
      </c>
      <c r="I894" s="5">
        <f t="shared" si="50"/>
        <v>3</v>
      </c>
      <c r="J894" s="2" t="s">
        <v>31</v>
      </c>
      <c r="K894" s="2" t="s">
        <v>587</v>
      </c>
      <c r="L894" t="s">
        <v>539</v>
      </c>
      <c r="AD894" s="33" t="str">
        <f t="shared" si="48"/>
        <v>Friday</v>
      </c>
    </row>
    <row r="895" spans="1:30" x14ac:dyDescent="0.2">
      <c r="A895" s="3">
        <v>41454</v>
      </c>
      <c r="B895" s="2" t="s">
        <v>38</v>
      </c>
      <c r="C895" t="s">
        <v>10</v>
      </c>
      <c r="D895" t="s">
        <v>207</v>
      </c>
      <c r="E895" s="2">
        <v>45874</v>
      </c>
      <c r="F895" s="2" cm="1">
        <f t="array" ref="F895">_xlfn.IFS(B895="Owner Surrender",E895,B895="Stray",E895+6,B895="Stray w/identification",E895+11,B895="Bite",E895+10,B895="Other",Blank)</f>
        <v>45880</v>
      </c>
      <c r="G895" s="2">
        <v>45896</v>
      </c>
      <c r="H895" s="5">
        <f t="shared" si="51"/>
        <v>22</v>
      </c>
      <c r="I895" s="5">
        <f t="shared" si="50"/>
        <v>16</v>
      </c>
      <c r="J895" s="2" t="s">
        <v>18</v>
      </c>
      <c r="K895" s="2" t="s">
        <v>586</v>
      </c>
      <c r="M895" t="s">
        <v>606</v>
      </c>
      <c r="AD895" s="33" t="str">
        <f t="shared" si="48"/>
        <v>Wednesday</v>
      </c>
    </row>
    <row r="896" spans="1:30" x14ac:dyDescent="0.2">
      <c r="A896" s="3">
        <v>41456</v>
      </c>
      <c r="B896" s="2" t="s">
        <v>38</v>
      </c>
      <c r="C896" t="s">
        <v>7</v>
      </c>
      <c r="D896" t="s">
        <v>208</v>
      </c>
      <c r="E896" s="2">
        <v>45875</v>
      </c>
      <c r="F896" s="2" cm="1">
        <f t="array" ref="F896">_xlfn.IFS(B896="Owner Surrender",E896,B896="Stray",E896+6,B896="Stray w/identification",E896+11,B896="Bite",E896+10,B896="Other",Blank)</f>
        <v>45881</v>
      </c>
      <c r="G896" s="2">
        <v>45875</v>
      </c>
      <c r="H896" s="5">
        <f t="shared" si="51"/>
        <v>0</v>
      </c>
      <c r="I896" s="5">
        <f t="shared" si="50"/>
        <v>-6</v>
      </c>
      <c r="J896" s="2" t="s">
        <v>31</v>
      </c>
      <c r="K896" s="2" t="s">
        <v>143</v>
      </c>
      <c r="AD896" s="33" t="str">
        <f t="shared" si="48"/>
        <v>Wednesday</v>
      </c>
    </row>
    <row r="897" spans="1:30" x14ac:dyDescent="0.2">
      <c r="A897" s="3">
        <v>41457</v>
      </c>
      <c r="B897" s="2" t="s">
        <v>38</v>
      </c>
      <c r="C897" t="s">
        <v>7</v>
      </c>
      <c r="D897" t="s">
        <v>208</v>
      </c>
      <c r="E897" s="2">
        <v>45875</v>
      </c>
      <c r="F897" s="2" cm="1">
        <f t="array" ref="F897">_xlfn.IFS(B897="Owner Surrender",E897,B897="Stray",E897+6,B897="Stray w/identification",E897+11,B897="Bite",E897+10,B897="Other",Blank)</f>
        <v>45881</v>
      </c>
      <c r="G897" s="2">
        <v>45875</v>
      </c>
      <c r="H897" s="5">
        <f t="shared" si="51"/>
        <v>0</v>
      </c>
      <c r="I897" s="5">
        <f t="shared" si="50"/>
        <v>-6</v>
      </c>
      <c r="J897" s="2" t="s">
        <v>31</v>
      </c>
      <c r="K897" s="2" t="s">
        <v>143</v>
      </c>
      <c r="AD897" s="33" t="str">
        <f t="shared" si="48"/>
        <v>Wednesday</v>
      </c>
    </row>
    <row r="898" spans="1:30" x14ac:dyDescent="0.2">
      <c r="A898" s="3">
        <v>41458</v>
      </c>
      <c r="B898" s="2" t="s">
        <v>38</v>
      </c>
      <c r="C898" t="s">
        <v>7</v>
      </c>
      <c r="D898" t="s">
        <v>208</v>
      </c>
      <c r="E898" s="2">
        <v>45875</v>
      </c>
      <c r="F898" s="2" cm="1">
        <f t="array" ref="F898">_xlfn.IFS(B898="Owner Surrender",E898,B898="Stray",E898+6,B898="Stray w/identification",E898+11,B898="Bite",E898+10,B898="Other",Blank)</f>
        <v>45881</v>
      </c>
      <c r="G898" s="2">
        <v>45875</v>
      </c>
      <c r="H898" s="5">
        <f t="shared" si="51"/>
        <v>0</v>
      </c>
      <c r="I898" s="5">
        <f t="shared" si="50"/>
        <v>-6</v>
      </c>
      <c r="J898" s="2" t="s">
        <v>31</v>
      </c>
      <c r="K898" s="2" t="s">
        <v>143</v>
      </c>
      <c r="AD898" s="33" t="str">
        <f t="shared" si="48"/>
        <v>Wednesday</v>
      </c>
    </row>
    <row r="899" spans="1:30" x14ac:dyDescent="0.2">
      <c r="A899" s="3">
        <v>41459</v>
      </c>
      <c r="B899" s="2" t="s">
        <v>38</v>
      </c>
      <c r="C899" t="s">
        <v>7</v>
      </c>
      <c r="D899" t="s">
        <v>208</v>
      </c>
      <c r="E899" s="2">
        <v>45875</v>
      </c>
      <c r="F899" s="2" cm="1">
        <f t="array" ref="F899">_xlfn.IFS(B899="Owner Surrender",E899,B899="Stray",E899+6,B899="Stray w/identification",E899+11,B899="Bite",E899+10,B899="Other",Blank)</f>
        <v>45881</v>
      </c>
      <c r="G899" s="2">
        <v>45875</v>
      </c>
      <c r="H899" s="5">
        <f t="shared" si="51"/>
        <v>0</v>
      </c>
      <c r="I899" s="5">
        <f t="shared" si="50"/>
        <v>-6</v>
      </c>
      <c r="J899" s="2" t="s">
        <v>31</v>
      </c>
      <c r="K899" s="2" t="s">
        <v>143</v>
      </c>
      <c r="AD899" s="33" t="str">
        <f t="shared" si="48"/>
        <v>Wednesday</v>
      </c>
    </row>
    <row r="900" spans="1:30" x14ac:dyDescent="0.2">
      <c r="A900" s="3">
        <v>41460</v>
      </c>
      <c r="B900" s="2" t="s">
        <v>36</v>
      </c>
      <c r="C900" t="s">
        <v>7</v>
      </c>
      <c r="D900" t="s">
        <v>207</v>
      </c>
      <c r="E900" s="2">
        <v>45875</v>
      </c>
      <c r="F900" s="2" cm="1">
        <f t="array" ref="F900">_xlfn.IFS(B900="Owner Surrender",E900,B900="Stray",E900+6,B900="Stray w/identification",E900+11,B900="Bite",E900+10,B900="Other",Blank)</f>
        <v>45875</v>
      </c>
      <c r="G900" s="2">
        <v>45896</v>
      </c>
      <c r="H900" s="5">
        <f t="shared" si="51"/>
        <v>21</v>
      </c>
      <c r="I900" s="5">
        <f t="shared" si="50"/>
        <v>21</v>
      </c>
      <c r="J900" s="2" t="s">
        <v>18</v>
      </c>
      <c r="K900" s="2" t="s">
        <v>586</v>
      </c>
      <c r="L900" t="s">
        <v>641</v>
      </c>
      <c r="M900" t="s">
        <v>606</v>
      </c>
      <c r="AD900" s="33" t="str">
        <f t="shared" ref="AD900:AD963" si="52">TEXT(G900,"DDDD")</f>
        <v>Wednesday</v>
      </c>
    </row>
    <row r="901" spans="1:30" x14ac:dyDescent="0.2">
      <c r="A901" s="3">
        <v>41461</v>
      </c>
      <c r="B901" s="2" t="s">
        <v>36</v>
      </c>
      <c r="C901" t="s">
        <v>7</v>
      </c>
      <c r="D901" t="s">
        <v>207</v>
      </c>
      <c r="E901" s="2">
        <v>45875</v>
      </c>
      <c r="F901" s="2" cm="1">
        <f t="array" ref="F901">_xlfn.IFS(B901="Owner Surrender",E901,B901="Stray",E901+6,B901="Stray w/identification",E901+11,B901="Bite",E901+10,B901="Other",Blank)</f>
        <v>45875</v>
      </c>
      <c r="G901" s="2">
        <v>45890</v>
      </c>
      <c r="H901" s="5">
        <f t="shared" si="51"/>
        <v>15</v>
      </c>
      <c r="I901" s="5">
        <f t="shared" si="50"/>
        <v>15</v>
      </c>
      <c r="J901" s="2" t="s">
        <v>11</v>
      </c>
      <c r="K901" s="2" t="s">
        <v>586</v>
      </c>
      <c r="AD901" s="33" t="str">
        <f t="shared" si="52"/>
        <v>Thursday</v>
      </c>
    </row>
    <row r="902" spans="1:30" x14ac:dyDescent="0.2">
      <c r="A902" s="3">
        <v>41462</v>
      </c>
      <c r="B902" s="2" t="s">
        <v>36</v>
      </c>
      <c r="C902" t="s">
        <v>7</v>
      </c>
      <c r="D902" t="s">
        <v>208</v>
      </c>
      <c r="E902" s="2">
        <v>45875</v>
      </c>
      <c r="F902" s="2" cm="1">
        <f t="array" ref="F902">_xlfn.IFS(B902="Owner Surrender",E902,B902="Stray",E902+6,B902="Stray w/identification",E902+11,B902="Bite",E902+10,B902="Other",Blank)</f>
        <v>45875</v>
      </c>
      <c r="G902" s="2">
        <v>45888</v>
      </c>
      <c r="H902" s="5">
        <f t="shared" si="51"/>
        <v>13</v>
      </c>
      <c r="I902" s="5">
        <f t="shared" si="50"/>
        <v>13</v>
      </c>
      <c r="J902" s="2" t="s">
        <v>11</v>
      </c>
      <c r="K902" s="2" t="s">
        <v>586</v>
      </c>
      <c r="AD902" s="33" t="str">
        <f t="shared" si="52"/>
        <v>Tuesday</v>
      </c>
    </row>
    <row r="903" spans="1:30" x14ac:dyDescent="0.2">
      <c r="A903" s="3">
        <v>41463</v>
      </c>
      <c r="B903" s="2" t="s">
        <v>38</v>
      </c>
      <c r="C903" t="s">
        <v>7</v>
      </c>
      <c r="D903" t="s">
        <v>208</v>
      </c>
      <c r="E903" s="2">
        <v>45875</v>
      </c>
      <c r="F903" s="2" cm="1">
        <f t="array" ref="F903">_xlfn.IFS(B903="Owner Surrender",E903,B903="Stray",E903+6,B903="Stray w/identification",E903+11,B903="Bite",E903+10,B903="Other",Blank)</f>
        <v>45881</v>
      </c>
      <c r="G903" s="2">
        <v>45889</v>
      </c>
      <c r="H903" s="5">
        <f t="shared" si="51"/>
        <v>14</v>
      </c>
      <c r="I903" s="5">
        <f t="shared" si="50"/>
        <v>8</v>
      </c>
      <c r="J903" s="2" t="s">
        <v>18</v>
      </c>
      <c r="K903" s="2" t="s">
        <v>586</v>
      </c>
      <c r="M903" t="s">
        <v>19</v>
      </c>
      <c r="AD903" s="33" t="str">
        <f t="shared" si="52"/>
        <v>Wednesday</v>
      </c>
    </row>
    <row r="904" spans="1:30" x14ac:dyDescent="0.2">
      <c r="A904" s="3">
        <v>41464</v>
      </c>
      <c r="B904" s="2" t="s">
        <v>38</v>
      </c>
      <c r="C904" t="s">
        <v>7</v>
      </c>
      <c r="D904" t="s">
        <v>208</v>
      </c>
      <c r="E904" s="2">
        <v>45875</v>
      </c>
      <c r="F904" s="2" cm="1">
        <f t="array" ref="F904">_xlfn.IFS(B904="Owner Surrender",E904,B904="Stray",E904+6,B904="Stray w/identification",E904+11,B904="Bite",E904+10,B904="Other",Blank)</f>
        <v>45881</v>
      </c>
      <c r="G904" s="2">
        <v>45882</v>
      </c>
      <c r="H904" s="5">
        <f t="shared" si="51"/>
        <v>7</v>
      </c>
      <c r="I904" s="5">
        <f t="shared" si="50"/>
        <v>1</v>
      </c>
      <c r="J904" s="2" t="s">
        <v>11</v>
      </c>
      <c r="K904" s="2" t="s">
        <v>586</v>
      </c>
      <c r="AD904" s="33" t="str">
        <f t="shared" si="52"/>
        <v>Wednesday</v>
      </c>
    </row>
    <row r="905" spans="1:30" x14ac:dyDescent="0.2">
      <c r="A905" s="3">
        <v>41466</v>
      </c>
      <c r="B905" s="2" t="s">
        <v>38</v>
      </c>
      <c r="C905" t="s">
        <v>7</v>
      </c>
      <c r="D905" t="s">
        <v>207</v>
      </c>
      <c r="E905" s="2">
        <v>45875</v>
      </c>
      <c r="F905" s="2" cm="1">
        <f t="array" ref="F905">_xlfn.IFS(B905="Owner Surrender",E905,B905="Stray",E905+6,B905="Stray w/identification",E905+11,B905="Bite",E905+10,B905="Other",Blank)</f>
        <v>45881</v>
      </c>
      <c r="G905" s="2">
        <v>45877</v>
      </c>
      <c r="H905" s="5">
        <f t="shared" si="51"/>
        <v>2</v>
      </c>
      <c r="I905" s="5">
        <f t="shared" si="50"/>
        <v>-4</v>
      </c>
      <c r="J905" s="2" t="s">
        <v>8</v>
      </c>
      <c r="K905" s="2" t="s">
        <v>586</v>
      </c>
      <c r="AD905" s="33" t="str">
        <f t="shared" si="52"/>
        <v>Friday</v>
      </c>
    </row>
    <row r="906" spans="1:30" x14ac:dyDescent="0.2">
      <c r="A906" s="3">
        <v>41467</v>
      </c>
      <c r="B906" s="2" t="s">
        <v>36</v>
      </c>
      <c r="C906" t="s">
        <v>7</v>
      </c>
      <c r="D906" t="s">
        <v>207</v>
      </c>
      <c r="E906" s="2">
        <v>45876</v>
      </c>
      <c r="F906" s="2" cm="1">
        <f t="array" ref="F906">_xlfn.IFS(B906="Owner Surrender",E906,B906="Stray",E906+6,B906="Stray w/identification",E906+11,B906="Bite",E906+10,B906="Other",Blank)</f>
        <v>45876</v>
      </c>
      <c r="G906" s="2">
        <v>45881</v>
      </c>
      <c r="H906" s="5">
        <f t="shared" si="51"/>
        <v>5</v>
      </c>
      <c r="I906" s="5">
        <f t="shared" si="50"/>
        <v>5</v>
      </c>
      <c r="J906" s="2" t="s">
        <v>31</v>
      </c>
      <c r="K906" s="2" t="s">
        <v>587</v>
      </c>
      <c r="AD906" s="33" t="str">
        <f t="shared" si="52"/>
        <v>Tuesday</v>
      </c>
    </row>
    <row r="907" spans="1:30" x14ac:dyDescent="0.2">
      <c r="A907" s="3">
        <v>41469</v>
      </c>
      <c r="B907" s="2" t="s">
        <v>38</v>
      </c>
      <c r="C907" t="s">
        <v>7</v>
      </c>
      <c r="D907" t="s">
        <v>207</v>
      </c>
      <c r="E907" s="2">
        <v>45876</v>
      </c>
      <c r="F907" s="2" cm="1">
        <f t="array" ref="F907">_xlfn.IFS(B907="Owner Surrender",E907,B907="Stray",E907+6,B907="Stray w/identification",E907+11,B907="Bite",E907+10,B907="Other",Blank)</f>
        <v>45882</v>
      </c>
      <c r="G907" s="2">
        <v>45885</v>
      </c>
      <c r="H907" s="5">
        <f t="shared" si="51"/>
        <v>9</v>
      </c>
      <c r="I907" s="5">
        <f t="shared" si="50"/>
        <v>3</v>
      </c>
      <c r="J907" s="2" t="s">
        <v>18</v>
      </c>
      <c r="K907" s="2" t="s">
        <v>586</v>
      </c>
      <c r="M907" t="s">
        <v>19</v>
      </c>
      <c r="AD907" s="33" t="str">
        <f t="shared" si="52"/>
        <v>Saturday</v>
      </c>
    </row>
    <row r="908" spans="1:30" x14ac:dyDescent="0.2">
      <c r="A908" s="3">
        <v>41470</v>
      </c>
      <c r="B908" s="2" t="s">
        <v>38</v>
      </c>
      <c r="C908" t="s">
        <v>7</v>
      </c>
      <c r="D908" t="s">
        <v>208</v>
      </c>
      <c r="E908" s="2">
        <v>45876</v>
      </c>
      <c r="F908" s="2" cm="1">
        <f t="array" ref="F908">_xlfn.IFS(B908="Owner Surrender",E908,B908="Stray",E908+6,B908="Stray w/identification",E908+11,B908="Bite",E908+10,B908="Other",Blank)</f>
        <v>45882</v>
      </c>
      <c r="G908" s="2">
        <v>45885</v>
      </c>
      <c r="H908" s="5">
        <f t="shared" ref="H908:H913" si="53">+G908-E908</f>
        <v>9</v>
      </c>
      <c r="I908" s="5">
        <f t="shared" si="50"/>
        <v>3</v>
      </c>
      <c r="J908" s="2" t="s">
        <v>18</v>
      </c>
      <c r="K908" s="2" t="s">
        <v>586</v>
      </c>
      <c r="M908" t="s">
        <v>19</v>
      </c>
      <c r="AD908" s="33" t="str">
        <f t="shared" si="52"/>
        <v>Saturday</v>
      </c>
    </row>
    <row r="909" spans="1:30" x14ac:dyDescent="0.2">
      <c r="A909" s="3">
        <v>41471</v>
      </c>
      <c r="B909" s="2" t="s">
        <v>38</v>
      </c>
      <c r="C909" t="s">
        <v>7</v>
      </c>
      <c r="D909" t="s">
        <v>208</v>
      </c>
      <c r="E909" s="2">
        <v>45876</v>
      </c>
      <c r="F909" s="2" cm="1">
        <f t="array" ref="F909">_xlfn.IFS(B909="Owner Surrender",E909,B909="Stray",E909+6,B909="Stray w/identification",E909+11,B909="Bite",E909+10,B909="Other",Blank)</f>
        <v>45882</v>
      </c>
      <c r="G909" s="2">
        <v>45885</v>
      </c>
      <c r="H909" s="5">
        <f t="shared" si="53"/>
        <v>9</v>
      </c>
      <c r="I909" s="5">
        <f t="shared" si="50"/>
        <v>3</v>
      </c>
      <c r="J909" s="2" t="s">
        <v>18</v>
      </c>
      <c r="K909" s="2" t="s">
        <v>586</v>
      </c>
      <c r="M909" t="s">
        <v>19</v>
      </c>
      <c r="AD909" s="33" t="str">
        <f t="shared" si="52"/>
        <v>Saturday</v>
      </c>
    </row>
    <row r="910" spans="1:30" x14ac:dyDescent="0.2">
      <c r="A910" s="3">
        <v>41473</v>
      </c>
      <c r="B910" s="2" t="s">
        <v>36</v>
      </c>
      <c r="C910" t="s">
        <v>7</v>
      </c>
      <c r="D910" t="s">
        <v>208</v>
      </c>
      <c r="E910" s="2">
        <v>45876</v>
      </c>
      <c r="F910" s="2" cm="1">
        <f t="array" ref="F910">_xlfn.IFS(B910="Owner Surrender",E910,B910="Stray",E910+6,B910="Stray w/identification",E910+11,B910="Bite",E910+10,B910="Other",Blank)</f>
        <v>45876</v>
      </c>
      <c r="G910" s="2">
        <v>45877</v>
      </c>
      <c r="H910" s="5">
        <f t="shared" si="53"/>
        <v>1</v>
      </c>
      <c r="I910" s="5">
        <f t="shared" si="50"/>
        <v>1</v>
      </c>
      <c r="J910" s="2" t="s">
        <v>31</v>
      </c>
      <c r="K910" s="2" t="s">
        <v>587</v>
      </c>
      <c r="L910" t="s">
        <v>116</v>
      </c>
      <c r="AD910" s="33" t="str">
        <f t="shared" si="52"/>
        <v>Friday</v>
      </c>
    </row>
    <row r="911" spans="1:30" x14ac:dyDescent="0.2">
      <c r="A911" s="3">
        <v>41474</v>
      </c>
      <c r="B911" s="2" t="s">
        <v>36</v>
      </c>
      <c r="C911" t="s">
        <v>7</v>
      </c>
      <c r="D911" t="s">
        <v>208</v>
      </c>
      <c r="E911" s="2">
        <v>45876</v>
      </c>
      <c r="F911" s="2" cm="1">
        <f t="array" ref="F911">_xlfn.IFS(B911="Owner Surrender",E911,B911="Stray",E911+6,B911="Stray w/identification",E911+11,B911="Bite",E911+10,B911="Other",Blank)</f>
        <v>45876</v>
      </c>
      <c r="G911" s="2">
        <v>45877</v>
      </c>
      <c r="H911" s="5">
        <f t="shared" si="53"/>
        <v>1</v>
      </c>
      <c r="I911" s="5">
        <f t="shared" si="50"/>
        <v>1</v>
      </c>
      <c r="J911" s="2" t="s">
        <v>31</v>
      </c>
      <c r="K911" s="2" t="s">
        <v>587</v>
      </c>
      <c r="L911" t="s">
        <v>642</v>
      </c>
      <c r="AD911" s="33" t="str">
        <f t="shared" si="52"/>
        <v>Friday</v>
      </c>
    </row>
    <row r="912" spans="1:30" x14ac:dyDescent="0.2">
      <c r="A912" s="3">
        <v>41475</v>
      </c>
      <c r="B912" s="2" t="s">
        <v>36</v>
      </c>
      <c r="C912" t="s">
        <v>7</v>
      </c>
      <c r="D912" t="s">
        <v>208</v>
      </c>
      <c r="E912" s="2">
        <v>45876</v>
      </c>
      <c r="F912" s="2" cm="1">
        <f t="array" ref="F912">_xlfn.IFS(B912="Owner Surrender",E912,B912="Stray",E912+6,B912="Stray w/identification",E912+11,B912="Bite",E912+10,B912="Other",Blank)</f>
        <v>45876</v>
      </c>
      <c r="G912" s="2">
        <v>45877</v>
      </c>
      <c r="H912" s="5">
        <f t="shared" si="53"/>
        <v>1</v>
      </c>
      <c r="I912" s="5">
        <f t="shared" si="50"/>
        <v>1</v>
      </c>
      <c r="J912" s="2" t="s">
        <v>31</v>
      </c>
      <c r="K912" s="2" t="s">
        <v>587</v>
      </c>
      <c r="L912" t="s">
        <v>643</v>
      </c>
      <c r="AD912" s="33" t="str">
        <f t="shared" si="52"/>
        <v>Friday</v>
      </c>
    </row>
    <row r="913" spans="1:30" x14ac:dyDescent="0.2">
      <c r="A913" s="3">
        <v>41476</v>
      </c>
      <c r="B913" s="2" t="s">
        <v>36</v>
      </c>
      <c r="C913" t="s">
        <v>7</v>
      </c>
      <c r="D913" t="s">
        <v>208</v>
      </c>
      <c r="E913" s="2">
        <v>45876</v>
      </c>
      <c r="F913" s="2" cm="1">
        <f t="array" ref="F913">_xlfn.IFS(B913="Owner Surrender",E913,B913="Stray",E913+6,B913="Stray w/identification",E913+11,B913="Bite",E913+10,B913="Other",Blank)</f>
        <v>45876</v>
      </c>
      <c r="G913" s="2">
        <v>45881</v>
      </c>
      <c r="H913" s="5">
        <f t="shared" si="53"/>
        <v>5</v>
      </c>
      <c r="I913" s="5">
        <f t="shared" si="50"/>
        <v>5</v>
      </c>
      <c r="J913" s="2" t="s">
        <v>31</v>
      </c>
      <c r="K913" s="2" t="s">
        <v>587</v>
      </c>
      <c r="L913" t="s">
        <v>96</v>
      </c>
      <c r="AD913" s="33" t="str">
        <f t="shared" si="52"/>
        <v>Tuesday</v>
      </c>
    </row>
    <row r="914" spans="1:30" x14ac:dyDescent="0.2">
      <c r="A914" s="3">
        <v>41480</v>
      </c>
      <c r="B914" s="2" t="s">
        <v>38</v>
      </c>
      <c r="C914" t="s">
        <v>7</v>
      </c>
      <c r="D914" t="s">
        <v>208</v>
      </c>
      <c r="E914" s="2">
        <v>45877</v>
      </c>
      <c r="F914" s="2" cm="1">
        <f t="array" ref="F914">_xlfn.IFS(B914="Owner Surrender",E914,B914="Stray",E914+6,B914="Stray w/identification",E914+11,B914="Bite",E914+10,B914="Other",Blank)</f>
        <v>45883</v>
      </c>
      <c r="H914" s="5">
        <f t="shared" ref="H914:H921" si="54">+G914-E914</f>
        <v>-45877</v>
      </c>
      <c r="I914" s="5">
        <f t="shared" ref="I914:I921" si="55">G914-F914</f>
        <v>-45883</v>
      </c>
      <c r="J914" s="2" t="s">
        <v>21</v>
      </c>
      <c r="K914" s="2" t="s">
        <v>586</v>
      </c>
      <c r="L914" t="s">
        <v>644</v>
      </c>
      <c r="M914" t="s">
        <v>645</v>
      </c>
      <c r="AD914" s="33" t="str">
        <f t="shared" si="52"/>
        <v>Saturday</v>
      </c>
    </row>
    <row r="915" spans="1:30" x14ac:dyDescent="0.2">
      <c r="A915" s="3">
        <v>41481</v>
      </c>
      <c r="B915" s="2" t="s">
        <v>38</v>
      </c>
      <c r="C915" t="s">
        <v>7</v>
      </c>
      <c r="D915" t="s">
        <v>208</v>
      </c>
      <c r="E915" s="2">
        <v>45876</v>
      </c>
      <c r="F915" s="2" cm="1">
        <f t="array" ref="F915">_xlfn.IFS(B915="Owner Surrender",E915,B915="Stray",E915+6,B915="Stray w/identification",E915+11,B915="Bite",E915+10,B915="Other",Blank)</f>
        <v>45882</v>
      </c>
      <c r="G915" s="2">
        <v>45883</v>
      </c>
      <c r="H915" s="5">
        <f t="shared" si="54"/>
        <v>7</v>
      </c>
      <c r="I915" s="5">
        <f t="shared" si="55"/>
        <v>1</v>
      </c>
      <c r="J915" s="2" t="s">
        <v>31</v>
      </c>
      <c r="K915" s="2" t="s">
        <v>143</v>
      </c>
      <c r="AD915" s="33" t="str">
        <f t="shared" si="52"/>
        <v>Thursday</v>
      </c>
    </row>
    <row r="916" spans="1:30" x14ac:dyDescent="0.2">
      <c r="A916" s="3">
        <v>41482</v>
      </c>
      <c r="B916" s="2" t="s">
        <v>38</v>
      </c>
      <c r="C916" t="s">
        <v>7</v>
      </c>
      <c r="D916" t="s">
        <v>208</v>
      </c>
      <c r="E916" s="2">
        <v>45876</v>
      </c>
      <c r="F916" s="2" cm="1">
        <f t="array" ref="F916">_xlfn.IFS(B916="Owner Surrender",E916,B916="Stray",E916+6,B916="Stray w/identification",E916+11,B916="Bite",E916+10,B916="Other",Blank)</f>
        <v>45882</v>
      </c>
      <c r="G916" s="2">
        <v>45883</v>
      </c>
      <c r="H916" s="5">
        <f t="shared" si="54"/>
        <v>7</v>
      </c>
      <c r="I916" s="5">
        <f t="shared" si="55"/>
        <v>1</v>
      </c>
      <c r="J916" s="2" t="s">
        <v>31</v>
      </c>
      <c r="K916" s="2" t="s">
        <v>143</v>
      </c>
      <c r="AD916" s="33" t="str">
        <f t="shared" si="52"/>
        <v>Thursday</v>
      </c>
    </row>
    <row r="917" spans="1:30" x14ac:dyDescent="0.2">
      <c r="A917" s="3">
        <v>41483</v>
      </c>
      <c r="B917" s="2" t="s">
        <v>38</v>
      </c>
      <c r="C917" t="s">
        <v>7</v>
      </c>
      <c r="D917" t="s">
        <v>208</v>
      </c>
      <c r="E917" s="2">
        <v>45876</v>
      </c>
      <c r="F917" s="2" cm="1">
        <f t="array" ref="F917">_xlfn.IFS(B917="Owner Surrender",E917,B917="Stray",E917+6,B917="Stray w/identification",E917+11,B917="Bite",E917+10,B917="Other",Blank)</f>
        <v>45882</v>
      </c>
      <c r="G917" s="2">
        <v>45883</v>
      </c>
      <c r="H917" s="5">
        <f t="shared" si="54"/>
        <v>7</v>
      </c>
      <c r="I917" s="5">
        <f t="shared" si="55"/>
        <v>1</v>
      </c>
      <c r="J917" s="2" t="s">
        <v>31</v>
      </c>
      <c r="K917" s="2" t="s">
        <v>143</v>
      </c>
      <c r="AD917" s="33" t="str">
        <f t="shared" si="52"/>
        <v>Thursday</v>
      </c>
    </row>
    <row r="918" spans="1:30" x14ac:dyDescent="0.2">
      <c r="A918" s="3">
        <v>41484</v>
      </c>
      <c r="B918" s="2" t="s">
        <v>38</v>
      </c>
      <c r="C918" t="s">
        <v>7</v>
      </c>
      <c r="D918" t="s">
        <v>208</v>
      </c>
      <c r="E918" s="2">
        <v>45876</v>
      </c>
      <c r="F918" s="2" cm="1">
        <f t="array" ref="F918">_xlfn.IFS(B918="Owner Surrender",E918,B918="Stray",E918+6,B918="Stray w/identification",E918+11,B918="Bite",E918+10,B918="Other",Blank)</f>
        <v>45882</v>
      </c>
      <c r="G918" s="2">
        <v>45883</v>
      </c>
      <c r="H918" s="5">
        <f t="shared" si="54"/>
        <v>7</v>
      </c>
      <c r="I918" s="5">
        <f t="shared" si="55"/>
        <v>1</v>
      </c>
      <c r="J918" s="2" t="s">
        <v>31</v>
      </c>
      <c r="K918" s="2" t="s">
        <v>143</v>
      </c>
      <c r="AD918" s="33" t="str">
        <f t="shared" si="52"/>
        <v>Thursday</v>
      </c>
    </row>
    <row r="919" spans="1:30" x14ac:dyDescent="0.2">
      <c r="A919" s="3">
        <v>41485</v>
      </c>
      <c r="B919" s="2" t="s">
        <v>38</v>
      </c>
      <c r="C919" t="s">
        <v>7</v>
      </c>
      <c r="D919" t="s">
        <v>208</v>
      </c>
      <c r="E919" s="2">
        <v>45876</v>
      </c>
      <c r="F919" s="2" cm="1">
        <f t="array" ref="F919">_xlfn.IFS(B919="Owner Surrender",E919,B919="Stray",E919+6,B919="Stray w/identification",E919+11,B919="Bite",E919+10,B919="Other",Blank)</f>
        <v>45882</v>
      </c>
      <c r="G919" s="2">
        <v>45883</v>
      </c>
      <c r="H919" s="5">
        <f t="shared" si="54"/>
        <v>7</v>
      </c>
      <c r="I919" s="5">
        <f t="shared" si="55"/>
        <v>1</v>
      </c>
      <c r="J919" s="2" t="s">
        <v>31</v>
      </c>
      <c r="K919" s="2" t="s">
        <v>143</v>
      </c>
      <c r="AD919" s="33" t="str">
        <f t="shared" si="52"/>
        <v>Thursday</v>
      </c>
    </row>
    <row r="920" spans="1:30" x14ac:dyDescent="0.2">
      <c r="A920" s="3">
        <v>41486</v>
      </c>
      <c r="B920" s="2" t="s">
        <v>38</v>
      </c>
      <c r="C920" t="s">
        <v>7</v>
      </c>
      <c r="D920" t="s">
        <v>208</v>
      </c>
      <c r="E920" s="2">
        <v>45876</v>
      </c>
      <c r="F920" s="2" cm="1">
        <f t="array" ref="F920">_xlfn.IFS(B920="Owner Surrender",E920,B920="Stray",E920+6,B920="Stray w/identification",E920+11,B920="Bite",E920+10,B920="Other",Blank)</f>
        <v>45882</v>
      </c>
      <c r="G920" s="2">
        <v>45883</v>
      </c>
      <c r="H920" s="5">
        <f t="shared" si="54"/>
        <v>7</v>
      </c>
      <c r="I920" s="5">
        <f t="shared" si="55"/>
        <v>1</v>
      </c>
      <c r="J920" s="2" t="s">
        <v>31</v>
      </c>
      <c r="K920" s="2" t="s">
        <v>143</v>
      </c>
      <c r="AD920" s="33" t="str">
        <f t="shared" si="52"/>
        <v>Thursday</v>
      </c>
    </row>
    <row r="921" spans="1:30" x14ac:dyDescent="0.2">
      <c r="A921" s="3">
        <v>41487</v>
      </c>
      <c r="B921" s="2" t="s">
        <v>38</v>
      </c>
      <c r="C921" t="s">
        <v>7</v>
      </c>
      <c r="D921" t="s">
        <v>207</v>
      </c>
      <c r="E921" s="2">
        <v>45876</v>
      </c>
      <c r="F921" s="2" cm="1">
        <f t="array" ref="F921">_xlfn.IFS(B921="Owner Surrender",E921,B921="Stray",E921+6,B921="Stray w/identification",E921+11,B921="Bite",E921+10,B921="Other",Blank)</f>
        <v>45882</v>
      </c>
      <c r="G921" s="2">
        <v>45883</v>
      </c>
      <c r="H921" s="5">
        <f t="shared" si="54"/>
        <v>7</v>
      </c>
      <c r="I921" s="5">
        <f t="shared" si="55"/>
        <v>1</v>
      </c>
      <c r="J921" s="2" t="s">
        <v>31</v>
      </c>
      <c r="K921" s="2" t="s">
        <v>587</v>
      </c>
      <c r="M921" t="s">
        <v>646</v>
      </c>
      <c r="AD921" s="33" t="str">
        <f t="shared" si="52"/>
        <v>Thursday</v>
      </c>
    </row>
    <row r="922" spans="1:30" x14ac:dyDescent="0.2">
      <c r="A922" s="3">
        <v>41488</v>
      </c>
      <c r="B922" s="2" t="s">
        <v>38</v>
      </c>
      <c r="C922" t="s">
        <v>7</v>
      </c>
      <c r="D922" t="s">
        <v>208</v>
      </c>
      <c r="E922" s="2">
        <v>45876</v>
      </c>
      <c r="F922" s="2" cm="1">
        <f t="array" ref="F922">_xlfn.IFS(B922="Owner Surrender",E922,B922="Stray",E922+6,B922="Stray w/identification",E922+11,B922="Bite",E922+10,B922="Other",Blank)</f>
        <v>45882</v>
      </c>
      <c r="G922" s="2">
        <v>45888</v>
      </c>
      <c r="H922" s="5">
        <f t="shared" ref="H922:H985" si="56">+G922-E922</f>
        <v>12</v>
      </c>
      <c r="I922" s="5">
        <f t="shared" ref="I922:I985" si="57">G922-F922</f>
        <v>6</v>
      </c>
      <c r="J922" s="2" t="s">
        <v>31</v>
      </c>
      <c r="K922" s="2" t="s">
        <v>587</v>
      </c>
      <c r="AD922" s="33" t="str">
        <f t="shared" si="52"/>
        <v>Tuesday</v>
      </c>
    </row>
    <row r="923" spans="1:30" x14ac:dyDescent="0.2">
      <c r="A923" s="3">
        <v>41489</v>
      </c>
      <c r="B923" s="2" t="s">
        <v>38</v>
      </c>
      <c r="C923" t="s">
        <v>7</v>
      </c>
      <c r="D923" t="s">
        <v>208</v>
      </c>
      <c r="E923" s="2">
        <v>45876</v>
      </c>
      <c r="F923" s="2" cm="1">
        <f t="array" ref="F923">_xlfn.IFS(B923="Owner Surrender",E923,B923="Stray",E923+6,B923="Stray w/identification",E923+11,B923="Bite",E923+10,B923="Other",Blank)</f>
        <v>45882</v>
      </c>
      <c r="G923" s="2">
        <v>45888</v>
      </c>
      <c r="H923" s="5">
        <f t="shared" si="56"/>
        <v>12</v>
      </c>
      <c r="I923" s="5">
        <f t="shared" si="57"/>
        <v>6</v>
      </c>
      <c r="J923" s="2" t="s">
        <v>31</v>
      </c>
      <c r="K923" s="2" t="s">
        <v>587</v>
      </c>
      <c r="AD923" s="33" t="str">
        <f t="shared" si="52"/>
        <v>Tuesday</v>
      </c>
    </row>
    <row r="924" spans="1:30" x14ac:dyDescent="0.2">
      <c r="A924" s="3">
        <v>41492</v>
      </c>
      <c r="B924" s="2" t="s">
        <v>38</v>
      </c>
      <c r="C924" t="s">
        <v>7</v>
      </c>
      <c r="D924" t="s">
        <v>207</v>
      </c>
      <c r="E924" s="2">
        <v>45877</v>
      </c>
      <c r="F924" s="2" cm="1">
        <f t="array" ref="F924">_xlfn.IFS(B924="Owner Surrender",E924,B924="Stray",E924+6,B924="Stray w/identification",E924+11,B924="Bite",E924+10,B924="Other",Blank)</f>
        <v>45883</v>
      </c>
      <c r="G924" s="2">
        <v>45888</v>
      </c>
      <c r="H924" s="5">
        <f t="shared" si="56"/>
        <v>11</v>
      </c>
      <c r="I924" s="5">
        <f t="shared" si="57"/>
        <v>5</v>
      </c>
      <c r="J924" s="2" t="s">
        <v>31</v>
      </c>
      <c r="K924" s="2" t="s">
        <v>587</v>
      </c>
      <c r="AD924" s="33" t="str">
        <f t="shared" si="52"/>
        <v>Tuesday</v>
      </c>
    </row>
    <row r="925" spans="1:30" x14ac:dyDescent="0.2">
      <c r="A925" s="3">
        <v>41493</v>
      </c>
      <c r="B925" s="2" t="s">
        <v>38</v>
      </c>
      <c r="C925" t="s">
        <v>7</v>
      </c>
      <c r="D925" t="s">
        <v>207</v>
      </c>
      <c r="E925" s="2">
        <v>45877</v>
      </c>
      <c r="F925" s="2" cm="1">
        <f t="array" ref="F925">_xlfn.IFS(B925="Owner Surrender",E925,B925="Stray",E925+6,B925="Stray w/identification",E925+11,B925="Bite",E925+10,B925="Other",Blank)</f>
        <v>45883</v>
      </c>
      <c r="G925" s="2">
        <v>45888</v>
      </c>
      <c r="H925" s="5">
        <f t="shared" si="56"/>
        <v>11</v>
      </c>
      <c r="I925" s="5">
        <f t="shared" si="57"/>
        <v>5</v>
      </c>
      <c r="J925" s="2" t="s">
        <v>31</v>
      </c>
      <c r="K925" s="2" t="s">
        <v>587</v>
      </c>
      <c r="AD925" s="33" t="str">
        <f t="shared" si="52"/>
        <v>Tuesday</v>
      </c>
    </row>
    <row r="926" spans="1:30" x14ac:dyDescent="0.2">
      <c r="A926" s="3">
        <v>41494</v>
      </c>
      <c r="B926" s="2" t="s">
        <v>38</v>
      </c>
      <c r="C926" t="s">
        <v>7</v>
      </c>
      <c r="D926" t="s">
        <v>208</v>
      </c>
      <c r="E926" s="2">
        <v>45877</v>
      </c>
      <c r="F926" s="2" cm="1">
        <f t="array" ref="F926">_xlfn.IFS(B926="Owner Surrender",E926,B926="Stray",E926+6,B926="Stray w/identification",E926+11,B926="Bite",E926+10,B926="Other",Blank)</f>
        <v>45883</v>
      </c>
      <c r="G926" s="2">
        <v>45888</v>
      </c>
      <c r="H926" s="5">
        <f t="shared" si="56"/>
        <v>11</v>
      </c>
      <c r="I926" s="5">
        <f t="shared" si="57"/>
        <v>5</v>
      </c>
      <c r="J926" s="2" t="s">
        <v>18</v>
      </c>
      <c r="K926" s="2" t="s">
        <v>586</v>
      </c>
      <c r="M926" t="s">
        <v>19</v>
      </c>
      <c r="AD926" s="33" t="str">
        <f t="shared" si="52"/>
        <v>Tuesday</v>
      </c>
    </row>
    <row r="927" spans="1:30" x14ac:dyDescent="0.2">
      <c r="A927" s="3">
        <v>41499</v>
      </c>
      <c r="B927" s="2" t="s">
        <v>36</v>
      </c>
      <c r="C927" t="s">
        <v>7</v>
      </c>
      <c r="D927" t="s">
        <v>208</v>
      </c>
      <c r="E927" s="2">
        <v>45877</v>
      </c>
      <c r="F927" s="2" cm="1">
        <f t="array" ref="F927">_xlfn.IFS(B927="Owner Surrender",E927,B927="Stray",E927+6,B927="Stray w/identification",E927+11,B927="Bite",E927+10,B927="Other",Blank)</f>
        <v>45877</v>
      </c>
      <c r="G927" s="2">
        <v>45881</v>
      </c>
      <c r="H927" s="5">
        <f t="shared" si="56"/>
        <v>4</v>
      </c>
      <c r="I927" s="5">
        <f t="shared" si="57"/>
        <v>4</v>
      </c>
      <c r="J927" s="2" t="s">
        <v>31</v>
      </c>
      <c r="K927" s="2" t="s">
        <v>588</v>
      </c>
      <c r="L927" t="s">
        <v>647</v>
      </c>
      <c r="AD927" s="33" t="str">
        <f t="shared" si="52"/>
        <v>Tuesday</v>
      </c>
    </row>
    <row r="928" spans="1:30" x14ac:dyDescent="0.2">
      <c r="A928" s="3">
        <v>41500</v>
      </c>
      <c r="B928" s="2" t="s">
        <v>38</v>
      </c>
      <c r="C928" t="s">
        <v>7</v>
      </c>
      <c r="D928" t="s">
        <v>208</v>
      </c>
      <c r="E928" s="2">
        <v>45878</v>
      </c>
      <c r="F928" s="2" cm="1">
        <f t="array" ref="F928">_xlfn.IFS(B928="Owner Surrender",E928,B928="Stray",E928+6,B928="Stray w/identification",E928+11,B928="Bite",E928+10,B928="Other",Blank)</f>
        <v>45884</v>
      </c>
      <c r="G928" s="2">
        <v>45878</v>
      </c>
      <c r="H928" s="5">
        <f t="shared" si="56"/>
        <v>0</v>
      </c>
      <c r="I928" s="5">
        <f t="shared" si="57"/>
        <v>-6</v>
      </c>
      <c r="J928" s="2" t="s">
        <v>31</v>
      </c>
      <c r="K928" s="2" t="s">
        <v>588</v>
      </c>
      <c r="M928" t="s">
        <v>35</v>
      </c>
      <c r="AD928" s="33" t="str">
        <f t="shared" si="52"/>
        <v>Saturday</v>
      </c>
    </row>
    <row r="929" spans="1:30" x14ac:dyDescent="0.2">
      <c r="A929" s="3">
        <v>41501</v>
      </c>
      <c r="B929" s="2" t="s">
        <v>38</v>
      </c>
      <c r="C929" t="s">
        <v>10</v>
      </c>
      <c r="D929" t="s">
        <v>208</v>
      </c>
      <c r="E929" s="2">
        <v>45877</v>
      </c>
      <c r="F929" s="2" cm="1">
        <f t="array" ref="F929">_xlfn.IFS(B929="Owner Surrender",E929,B929="Stray",E929+6,B929="Stray w/identification",E929+11,B929="Bite",E929+10,B929="Other",Blank)</f>
        <v>45883</v>
      </c>
      <c r="G929" s="2">
        <v>45883</v>
      </c>
      <c r="H929" s="5">
        <f t="shared" si="56"/>
        <v>6</v>
      </c>
      <c r="I929" s="5">
        <f t="shared" si="57"/>
        <v>0</v>
      </c>
      <c r="J929" s="2" t="s">
        <v>31</v>
      </c>
      <c r="K929" s="2" t="s">
        <v>588</v>
      </c>
      <c r="M929" t="s">
        <v>126</v>
      </c>
      <c r="AD929" s="33" t="str">
        <f t="shared" si="52"/>
        <v>Thursday</v>
      </c>
    </row>
    <row r="930" spans="1:30" x14ac:dyDescent="0.2">
      <c r="A930" s="3">
        <v>41502</v>
      </c>
      <c r="B930" s="2" t="s">
        <v>38</v>
      </c>
      <c r="C930" t="s">
        <v>10</v>
      </c>
      <c r="D930" t="s">
        <v>208</v>
      </c>
      <c r="E930" s="2">
        <v>45878</v>
      </c>
      <c r="F930" s="2" cm="1">
        <f t="array" ref="F930">_xlfn.IFS(B930="Owner Surrender",E930,B930="Stray",E930+6,B930="Stray w/identification",E930+11,B930="Bite",E930+10,B930="Other",Blank)</f>
        <v>45884</v>
      </c>
      <c r="G930" s="2">
        <v>45889</v>
      </c>
      <c r="H930" s="5">
        <f t="shared" si="56"/>
        <v>11</v>
      </c>
      <c r="I930" s="5">
        <f t="shared" si="57"/>
        <v>5</v>
      </c>
      <c r="J930" s="2" t="s">
        <v>18</v>
      </c>
      <c r="K930" s="2" t="s">
        <v>586</v>
      </c>
      <c r="M930" t="s">
        <v>19</v>
      </c>
      <c r="AD930" s="33" t="str">
        <f t="shared" si="52"/>
        <v>Wednesday</v>
      </c>
    </row>
    <row r="931" spans="1:30" x14ac:dyDescent="0.2">
      <c r="A931" s="3">
        <v>41504</v>
      </c>
      <c r="B931" s="2" t="s">
        <v>38</v>
      </c>
      <c r="C931" t="s">
        <v>7</v>
      </c>
      <c r="D931" t="s">
        <v>207</v>
      </c>
      <c r="E931" s="2">
        <v>45878</v>
      </c>
      <c r="F931" s="2" cm="1">
        <f t="array" ref="F931">_xlfn.IFS(B931="Owner Surrender",E931,B931="Stray",E931+6,B931="Stray w/identification",E931+11,B931="Bite",E931+10,B931="Other",Blank)</f>
        <v>45884</v>
      </c>
      <c r="G931" s="2">
        <v>45896</v>
      </c>
      <c r="H931" s="5">
        <f t="shared" si="56"/>
        <v>18</v>
      </c>
      <c r="I931" s="5">
        <f t="shared" si="57"/>
        <v>12</v>
      </c>
      <c r="J931" s="2" t="s">
        <v>18</v>
      </c>
      <c r="K931" s="2" t="s">
        <v>586</v>
      </c>
      <c r="M931" t="s">
        <v>606</v>
      </c>
      <c r="AD931" s="33" t="str">
        <f t="shared" si="52"/>
        <v>Wednesday</v>
      </c>
    </row>
    <row r="932" spans="1:30" x14ac:dyDescent="0.2">
      <c r="A932" s="3">
        <v>41505</v>
      </c>
      <c r="B932" s="2" t="s">
        <v>38</v>
      </c>
      <c r="C932" t="s">
        <v>7</v>
      </c>
      <c r="D932" t="s">
        <v>208</v>
      </c>
      <c r="E932" s="2">
        <v>45879</v>
      </c>
      <c r="F932" s="2" cm="1">
        <f t="array" ref="F932">_xlfn.IFS(B932="Owner Surrender",E932,B932="Stray",E932+6,B932="Stray w/identification",E932+11,B932="Bite",E932+10,B932="Other",Blank)</f>
        <v>45885</v>
      </c>
      <c r="G932" s="2">
        <v>45889</v>
      </c>
      <c r="H932" s="5">
        <f t="shared" si="56"/>
        <v>10</v>
      </c>
      <c r="I932" s="5">
        <f t="shared" si="57"/>
        <v>4</v>
      </c>
      <c r="J932" s="2" t="s">
        <v>18</v>
      </c>
      <c r="K932" s="2" t="s">
        <v>586</v>
      </c>
      <c r="M932" t="s">
        <v>19</v>
      </c>
      <c r="AD932" s="33" t="str">
        <f t="shared" si="52"/>
        <v>Wednesday</v>
      </c>
    </row>
    <row r="933" spans="1:30" x14ac:dyDescent="0.2">
      <c r="A933" s="3">
        <v>41507</v>
      </c>
      <c r="B933" s="2" t="s">
        <v>38</v>
      </c>
      <c r="C933" t="s">
        <v>7</v>
      </c>
      <c r="D933" t="s">
        <v>208</v>
      </c>
      <c r="E933" s="2">
        <v>45879</v>
      </c>
      <c r="F933" s="2" cm="1">
        <f t="array" ref="F933">_xlfn.IFS(B933="Owner Surrender",E933,B933="Stray",E933+6,B933="Stray w/identification",E933+11,B933="Bite",E933+10,B933="Other",Blank)</f>
        <v>45885</v>
      </c>
      <c r="G933" s="2">
        <v>45889</v>
      </c>
      <c r="H933" s="5">
        <f t="shared" si="56"/>
        <v>10</v>
      </c>
      <c r="I933" s="5">
        <f t="shared" si="57"/>
        <v>4</v>
      </c>
      <c r="J933" s="2" t="s">
        <v>18</v>
      </c>
      <c r="K933" s="2" t="s">
        <v>586</v>
      </c>
      <c r="M933" t="s">
        <v>19</v>
      </c>
      <c r="AD933" s="33" t="str">
        <f t="shared" si="52"/>
        <v>Wednesday</v>
      </c>
    </row>
    <row r="934" spans="1:30" x14ac:dyDescent="0.2">
      <c r="A934" s="3">
        <v>41508</v>
      </c>
      <c r="B934" s="2" t="s">
        <v>38</v>
      </c>
      <c r="C934" t="s">
        <v>7</v>
      </c>
      <c r="D934" t="s">
        <v>207</v>
      </c>
      <c r="E934" s="2">
        <v>45880</v>
      </c>
      <c r="F934" s="2" cm="1">
        <f t="array" ref="F934">_xlfn.IFS(B934="Owner Surrender",E934,B934="Stray",E934+6,B934="Stray w/identification",E934+11,B934="Bite",E934+10,B934="Other",Blank)</f>
        <v>45886</v>
      </c>
      <c r="G934" s="2">
        <v>45888</v>
      </c>
      <c r="H934" s="5">
        <f t="shared" si="56"/>
        <v>8</v>
      </c>
      <c r="I934" s="5">
        <f t="shared" si="57"/>
        <v>2</v>
      </c>
      <c r="J934" s="2" t="s">
        <v>31</v>
      </c>
      <c r="K934" s="2" t="s">
        <v>24</v>
      </c>
      <c r="AD934" s="33" t="str">
        <f t="shared" si="52"/>
        <v>Tuesday</v>
      </c>
    </row>
    <row r="935" spans="1:30" x14ac:dyDescent="0.2">
      <c r="A935" s="3">
        <v>41511</v>
      </c>
      <c r="B935" s="2" t="s">
        <v>36</v>
      </c>
      <c r="C935" t="s">
        <v>7</v>
      </c>
      <c r="D935" t="s">
        <v>208</v>
      </c>
      <c r="E935" s="2">
        <v>45880</v>
      </c>
      <c r="F935" s="2" cm="1">
        <f t="array" ref="F935">_xlfn.IFS(B935="Owner Surrender",E935,B935="Stray",E935+6,B935="Stray w/identification",E935+11,B935="Bite",E935+10,B935="Other",Blank)</f>
        <v>45880</v>
      </c>
      <c r="G935" s="2">
        <v>45910</v>
      </c>
      <c r="H935" s="5">
        <f t="shared" si="56"/>
        <v>30</v>
      </c>
      <c r="I935" s="5">
        <f t="shared" si="57"/>
        <v>30</v>
      </c>
      <c r="J935" s="2" t="s">
        <v>31</v>
      </c>
      <c r="K935" s="2" t="s">
        <v>587</v>
      </c>
      <c r="AD935" s="33" t="str">
        <f t="shared" si="52"/>
        <v>Wednesday</v>
      </c>
    </row>
    <row r="936" spans="1:30" x14ac:dyDescent="0.2">
      <c r="A936" s="3">
        <v>41512</v>
      </c>
      <c r="B936" s="2" t="s">
        <v>36</v>
      </c>
      <c r="C936" t="s">
        <v>7</v>
      </c>
      <c r="D936" t="s">
        <v>208</v>
      </c>
      <c r="E936" s="2">
        <v>45880</v>
      </c>
      <c r="F936" s="2" cm="1">
        <f t="array" ref="F936">_xlfn.IFS(B936="Owner Surrender",E936,B936="Stray",E936+6,B936="Stray w/identification",E936+11,B936="Bite",E936+10,B936="Other",Blank)</f>
        <v>45880</v>
      </c>
      <c r="G936" s="2">
        <v>45910</v>
      </c>
      <c r="H936" s="5">
        <f t="shared" si="56"/>
        <v>30</v>
      </c>
      <c r="I936" s="5">
        <f t="shared" si="57"/>
        <v>30</v>
      </c>
      <c r="J936" s="2" t="s">
        <v>31</v>
      </c>
      <c r="K936" s="2" t="s">
        <v>587</v>
      </c>
      <c r="AD936" s="33" t="str">
        <f t="shared" si="52"/>
        <v>Wednesday</v>
      </c>
    </row>
    <row r="937" spans="1:30" x14ac:dyDescent="0.2">
      <c r="A937" s="3">
        <v>41513</v>
      </c>
      <c r="B937" s="2" t="s">
        <v>36</v>
      </c>
      <c r="C937" t="s">
        <v>7</v>
      </c>
      <c r="D937" t="s">
        <v>208</v>
      </c>
      <c r="E937" s="2">
        <v>45880</v>
      </c>
      <c r="F937" s="2" cm="1">
        <f t="array" ref="F937">_xlfn.IFS(B937="Owner Surrender",E937,B937="Stray",E937+6,B937="Stray w/identification",E937+11,B937="Bite",E937+10,B937="Other",Blank)</f>
        <v>45880</v>
      </c>
      <c r="G937" s="2">
        <v>45910</v>
      </c>
      <c r="H937" s="5">
        <f t="shared" si="56"/>
        <v>30</v>
      </c>
      <c r="I937" s="5">
        <f t="shared" si="57"/>
        <v>30</v>
      </c>
      <c r="J937" s="2" t="s">
        <v>31</v>
      </c>
      <c r="K937" s="2" t="s">
        <v>587</v>
      </c>
      <c r="AD937" s="33" t="str">
        <f t="shared" si="52"/>
        <v>Wednesday</v>
      </c>
    </row>
    <row r="938" spans="1:30" x14ac:dyDescent="0.2">
      <c r="A938" s="3">
        <v>41518</v>
      </c>
      <c r="B938" s="2" t="s">
        <v>36</v>
      </c>
      <c r="C938" t="s">
        <v>7</v>
      </c>
      <c r="D938" t="s">
        <v>208</v>
      </c>
      <c r="E938" s="2">
        <v>45880</v>
      </c>
      <c r="F938" s="2" cm="1">
        <f t="array" ref="F938">_xlfn.IFS(B938="Owner Surrender",E938,B938="Stray",E938+6,B938="Stray w/identification",E938+11,B938="Bite",E938+10,B938="Other",Blank)</f>
        <v>45880</v>
      </c>
      <c r="G938" s="2">
        <v>45882</v>
      </c>
      <c r="H938" s="5">
        <f t="shared" si="56"/>
        <v>2</v>
      </c>
      <c r="I938" s="5">
        <f t="shared" si="57"/>
        <v>2</v>
      </c>
      <c r="J938" s="2" t="s">
        <v>31</v>
      </c>
      <c r="K938" s="2" t="s">
        <v>587</v>
      </c>
      <c r="AD938" s="33" t="str">
        <f t="shared" si="52"/>
        <v>Wednesday</v>
      </c>
    </row>
    <row r="939" spans="1:30" x14ac:dyDescent="0.2">
      <c r="A939" s="3">
        <v>41519</v>
      </c>
      <c r="B939" s="2" t="s">
        <v>36</v>
      </c>
      <c r="C939" t="s">
        <v>7</v>
      </c>
      <c r="D939" t="s">
        <v>208</v>
      </c>
      <c r="E939" s="2">
        <v>45880</v>
      </c>
      <c r="F939" s="2" cm="1">
        <f t="array" ref="F939">_xlfn.IFS(B939="Owner Surrender",E939,B939="Stray",E939+6,B939="Stray w/identification",E939+11,B939="Bite",E939+10,B939="Other",Blank)</f>
        <v>45880</v>
      </c>
      <c r="G939" s="2">
        <v>45902</v>
      </c>
      <c r="H939" s="5">
        <f t="shared" si="56"/>
        <v>22</v>
      </c>
      <c r="I939" s="5">
        <f t="shared" si="57"/>
        <v>22</v>
      </c>
      <c r="J939" s="2" t="s">
        <v>31</v>
      </c>
      <c r="K939" s="2" t="s">
        <v>587</v>
      </c>
      <c r="AD939" s="33" t="str">
        <f t="shared" si="52"/>
        <v>Tuesday</v>
      </c>
    </row>
    <row r="940" spans="1:30" x14ac:dyDescent="0.2">
      <c r="A940" s="3">
        <v>41520</v>
      </c>
      <c r="B940" s="2" t="s">
        <v>36</v>
      </c>
      <c r="C940" t="s">
        <v>7</v>
      </c>
      <c r="D940" t="s">
        <v>208</v>
      </c>
      <c r="E940" s="2">
        <v>45880</v>
      </c>
      <c r="F940" s="2" cm="1">
        <f t="array" ref="F940">_xlfn.IFS(B940="Owner Surrender",E940,B940="Stray",E940+6,B940="Stray w/identification",E940+11,B940="Bite",E940+10,B940="Other",Blank)</f>
        <v>45880</v>
      </c>
      <c r="G940" s="2">
        <v>45902</v>
      </c>
      <c r="H940" s="5">
        <f t="shared" si="56"/>
        <v>22</v>
      </c>
      <c r="I940" s="5">
        <f t="shared" si="57"/>
        <v>22</v>
      </c>
      <c r="J940" s="2" t="s">
        <v>31</v>
      </c>
      <c r="K940" s="2" t="s">
        <v>587</v>
      </c>
      <c r="AD940" s="33" t="str">
        <f t="shared" si="52"/>
        <v>Tuesday</v>
      </c>
    </row>
    <row r="941" spans="1:30" x14ac:dyDescent="0.2">
      <c r="A941" s="3">
        <v>41521</v>
      </c>
      <c r="B941" s="2" t="s">
        <v>36</v>
      </c>
      <c r="C941" t="s">
        <v>7</v>
      </c>
      <c r="D941" t="s">
        <v>208</v>
      </c>
      <c r="E941" s="2">
        <v>45880</v>
      </c>
      <c r="F941" s="2" cm="1">
        <f t="array" ref="F941">_xlfn.IFS(B941="Owner Surrender",E941,B941="Stray",E941+6,B941="Stray w/identification",E941+11,B941="Bite",E941+10,B941="Other",Blank)</f>
        <v>45880</v>
      </c>
      <c r="G941" s="2">
        <v>45902</v>
      </c>
      <c r="H941" s="5">
        <f t="shared" si="56"/>
        <v>22</v>
      </c>
      <c r="I941" s="5">
        <f t="shared" si="57"/>
        <v>22</v>
      </c>
      <c r="J941" s="2" t="s">
        <v>31</v>
      </c>
      <c r="K941" s="2" t="s">
        <v>587</v>
      </c>
      <c r="AD941" s="33" t="str">
        <f t="shared" si="52"/>
        <v>Tuesday</v>
      </c>
    </row>
    <row r="942" spans="1:30" x14ac:dyDescent="0.2">
      <c r="A942" s="3">
        <v>41522</v>
      </c>
      <c r="B942" s="2" t="s">
        <v>36</v>
      </c>
      <c r="C942" t="s">
        <v>7</v>
      </c>
      <c r="D942" t="s">
        <v>208</v>
      </c>
      <c r="E942" s="2">
        <v>45880</v>
      </c>
      <c r="F942" s="2" cm="1">
        <f t="array" ref="F942">_xlfn.IFS(B942="Owner Surrender",E942,B942="Stray",E942+6,B942="Stray w/identification",E942+11,B942="Bite",E942+10,B942="Other",Blank)</f>
        <v>45880</v>
      </c>
      <c r="G942" s="2">
        <v>45902</v>
      </c>
      <c r="H942" s="5">
        <f t="shared" si="56"/>
        <v>22</v>
      </c>
      <c r="I942" s="5">
        <f t="shared" si="57"/>
        <v>22</v>
      </c>
      <c r="J942" s="2" t="s">
        <v>31</v>
      </c>
      <c r="K942" s="2" t="s">
        <v>587</v>
      </c>
      <c r="AD942" s="33" t="str">
        <f t="shared" si="52"/>
        <v>Tuesday</v>
      </c>
    </row>
    <row r="943" spans="1:30" x14ac:dyDescent="0.2">
      <c r="A943" s="3">
        <v>41523</v>
      </c>
      <c r="B943" s="2" t="s">
        <v>38</v>
      </c>
      <c r="C943" t="s">
        <v>7</v>
      </c>
      <c r="D943" t="s">
        <v>208</v>
      </c>
      <c r="E943" s="2">
        <v>45881</v>
      </c>
      <c r="F943" s="2" cm="1">
        <f t="array" ref="F943">_xlfn.IFS(B943="Owner Surrender",E943,B943="Stray",E943+6,B943="Stray w/identification",E943+11,B943="Bite",E943+10,B943="Other",Blank)</f>
        <v>45887</v>
      </c>
      <c r="G943" s="2">
        <v>45888</v>
      </c>
      <c r="H943" s="5">
        <f t="shared" si="56"/>
        <v>7</v>
      </c>
      <c r="I943" s="5">
        <f t="shared" si="57"/>
        <v>1</v>
      </c>
      <c r="J943" s="2" t="s">
        <v>31</v>
      </c>
      <c r="K943" s="2" t="s">
        <v>587</v>
      </c>
      <c r="AD943" s="33" t="str">
        <f t="shared" si="52"/>
        <v>Tuesday</v>
      </c>
    </row>
    <row r="944" spans="1:30" x14ac:dyDescent="0.2">
      <c r="A944" s="3">
        <v>41524</v>
      </c>
      <c r="B944" s="2" t="s">
        <v>38</v>
      </c>
      <c r="C944" t="s">
        <v>7</v>
      </c>
      <c r="D944" t="s">
        <v>207</v>
      </c>
      <c r="E944" s="2">
        <v>45881</v>
      </c>
      <c r="F944" s="2" cm="1">
        <f t="array" ref="F944">_xlfn.IFS(B944="Owner Surrender",E944,B944="Stray",E944+6,B944="Stray w/identification",E944+11,B944="Bite",E944+10,B944="Other",Blank)</f>
        <v>45887</v>
      </c>
      <c r="G944" s="2">
        <v>45888</v>
      </c>
      <c r="H944" s="5">
        <f t="shared" si="56"/>
        <v>7</v>
      </c>
      <c r="I944" s="5">
        <f t="shared" si="57"/>
        <v>1</v>
      </c>
      <c r="J944" s="2" t="s">
        <v>31</v>
      </c>
      <c r="K944" s="2" t="s">
        <v>587</v>
      </c>
      <c r="AD944" s="33" t="str">
        <f t="shared" si="52"/>
        <v>Tuesday</v>
      </c>
    </row>
    <row r="945" spans="1:30" x14ac:dyDescent="0.2">
      <c r="A945" s="3">
        <v>41529</v>
      </c>
      <c r="B945" s="2" t="s">
        <v>38</v>
      </c>
      <c r="C945" t="s">
        <v>7</v>
      </c>
      <c r="D945" t="s">
        <v>208</v>
      </c>
      <c r="E945" s="2">
        <v>45881</v>
      </c>
      <c r="F945" s="2" cm="1">
        <f t="array" ref="F945">_xlfn.IFS(B945="Owner Surrender",E945,B945="Stray",E945+6,B945="Stray w/identification",E945+11,B945="Bite",E945+10,B945="Other",Blank)</f>
        <v>45887</v>
      </c>
      <c r="G945" s="2">
        <v>45889</v>
      </c>
      <c r="H945" s="5">
        <f t="shared" si="56"/>
        <v>8</v>
      </c>
      <c r="I945" s="5">
        <f t="shared" si="57"/>
        <v>2</v>
      </c>
      <c r="J945" s="2" t="s">
        <v>18</v>
      </c>
      <c r="K945" s="2" t="s">
        <v>586</v>
      </c>
      <c r="M945" t="s">
        <v>19</v>
      </c>
      <c r="AD945" s="33" t="str">
        <f t="shared" si="52"/>
        <v>Wednesday</v>
      </c>
    </row>
    <row r="946" spans="1:30" x14ac:dyDescent="0.2">
      <c r="A946" s="3">
        <v>41531</v>
      </c>
      <c r="B946" s="2" t="s">
        <v>38</v>
      </c>
      <c r="C946" t="s">
        <v>7</v>
      </c>
      <c r="D946" t="s">
        <v>207</v>
      </c>
      <c r="E946" s="2">
        <v>45881</v>
      </c>
      <c r="F946" s="2" cm="1">
        <f t="array" ref="F946">_xlfn.IFS(B946="Owner Surrender",E946,B946="Stray",E946+6,B946="Stray w/identification",E946+11,B946="Bite",E946+10,B946="Other",Blank)</f>
        <v>45887</v>
      </c>
      <c r="G946" s="2">
        <v>45881</v>
      </c>
      <c r="H946" s="5">
        <f t="shared" si="56"/>
        <v>0</v>
      </c>
      <c r="I946" s="5">
        <f t="shared" si="57"/>
        <v>-6</v>
      </c>
      <c r="J946" s="2" t="s">
        <v>31</v>
      </c>
      <c r="K946" s="2" t="s">
        <v>588</v>
      </c>
      <c r="M946" t="s">
        <v>648</v>
      </c>
      <c r="AD946" s="33" t="str">
        <f t="shared" si="52"/>
        <v>Tuesday</v>
      </c>
    </row>
    <row r="947" spans="1:30" x14ac:dyDescent="0.2">
      <c r="A947" s="3">
        <v>41534</v>
      </c>
      <c r="B947" s="2" t="s">
        <v>38</v>
      </c>
      <c r="C947" t="s">
        <v>7</v>
      </c>
      <c r="D947" t="s">
        <v>207</v>
      </c>
      <c r="E947" s="2">
        <v>45880</v>
      </c>
      <c r="F947" s="2" cm="1">
        <f t="array" ref="F947">_xlfn.IFS(B947="Owner Surrender",E947,B947="Stray",E947+6,B947="Stray w/identification",E947+11,B947="Bite",E947+10,B947="Other",Blank)</f>
        <v>45886</v>
      </c>
      <c r="G947" s="2">
        <v>45888</v>
      </c>
      <c r="H947" s="5">
        <f t="shared" si="56"/>
        <v>8</v>
      </c>
      <c r="I947" s="5">
        <f t="shared" si="57"/>
        <v>2</v>
      </c>
      <c r="J947" s="2" t="s">
        <v>31</v>
      </c>
      <c r="K947" s="2" t="s">
        <v>587</v>
      </c>
      <c r="AD947" s="33" t="str">
        <f t="shared" si="52"/>
        <v>Tuesday</v>
      </c>
    </row>
    <row r="948" spans="1:30" x14ac:dyDescent="0.2">
      <c r="A948" s="3">
        <v>41535</v>
      </c>
      <c r="B948" s="2" t="s">
        <v>36</v>
      </c>
      <c r="C948" t="s">
        <v>7</v>
      </c>
      <c r="D948" t="s">
        <v>207</v>
      </c>
      <c r="E948" s="2">
        <v>45882</v>
      </c>
      <c r="F948" s="2" cm="1">
        <f t="array" ref="F948">_xlfn.IFS(B948="Owner Surrender",E948,B948="Stray",E948+6,B948="Stray w/identification",E948+11,B948="Bite",E948+10,B948="Other",Blank)</f>
        <v>45882</v>
      </c>
      <c r="G948" s="2">
        <v>45883</v>
      </c>
      <c r="H948" s="5">
        <f t="shared" si="56"/>
        <v>1</v>
      </c>
      <c r="I948" s="5">
        <f t="shared" si="57"/>
        <v>1</v>
      </c>
      <c r="J948" s="2" t="s">
        <v>31</v>
      </c>
      <c r="K948" s="2" t="s">
        <v>24</v>
      </c>
      <c r="AD948" s="33" t="str">
        <f t="shared" si="52"/>
        <v>Thursday</v>
      </c>
    </row>
    <row r="949" spans="1:30" x14ac:dyDescent="0.2">
      <c r="A949" s="3">
        <v>41542</v>
      </c>
      <c r="B949" s="2" t="s">
        <v>38</v>
      </c>
      <c r="C949" t="s">
        <v>7</v>
      </c>
      <c r="D949" t="s">
        <v>207</v>
      </c>
      <c r="E949" s="2">
        <v>45883</v>
      </c>
      <c r="F949" s="2" cm="1">
        <f t="array" ref="F949">_xlfn.IFS(B949="Owner Surrender",E949,B949="Stray",E949+6,B949="Stray w/identification",E949+11,B949="Bite",E949+10,B949="Other",Blank)</f>
        <v>45889</v>
      </c>
      <c r="G949" s="2">
        <v>45890</v>
      </c>
      <c r="H949" s="5">
        <f t="shared" si="56"/>
        <v>7</v>
      </c>
      <c r="I949" s="5">
        <f t="shared" si="57"/>
        <v>1</v>
      </c>
      <c r="J949" s="2" t="s">
        <v>31</v>
      </c>
      <c r="K949" s="2" t="s">
        <v>587</v>
      </c>
      <c r="AD949" s="33" t="str">
        <f t="shared" si="52"/>
        <v>Thursday</v>
      </c>
    </row>
    <row r="950" spans="1:30" x14ac:dyDescent="0.2">
      <c r="A950" s="3">
        <v>41543</v>
      </c>
      <c r="B950" s="2" t="s">
        <v>36</v>
      </c>
      <c r="C950" t="s">
        <v>7</v>
      </c>
      <c r="D950" t="s">
        <v>208</v>
      </c>
      <c r="E950" s="2">
        <v>45883</v>
      </c>
      <c r="F950" s="2" cm="1">
        <f t="array" ref="F950">_xlfn.IFS(B950="Owner Surrender",E950,B950="Stray",E950+6,B950="Stray w/identification",E950+11,B950="Bite",E950+10,B950="Other",Blank)</f>
        <v>45883</v>
      </c>
      <c r="G950" s="2">
        <v>45888</v>
      </c>
      <c r="H950" s="5">
        <f t="shared" si="56"/>
        <v>5</v>
      </c>
      <c r="I950" s="5">
        <f t="shared" si="57"/>
        <v>5</v>
      </c>
      <c r="J950" s="2" t="s">
        <v>18</v>
      </c>
      <c r="K950" s="2" t="s">
        <v>586</v>
      </c>
      <c r="M950" t="s">
        <v>19</v>
      </c>
      <c r="AD950" s="33" t="str">
        <f t="shared" si="52"/>
        <v>Tuesday</v>
      </c>
    </row>
    <row r="951" spans="1:30" x14ac:dyDescent="0.2">
      <c r="A951" s="3">
        <v>41551</v>
      </c>
      <c r="B951" s="2" t="s">
        <v>38</v>
      </c>
      <c r="C951" t="s">
        <v>7</v>
      </c>
      <c r="D951" t="s">
        <v>208</v>
      </c>
      <c r="E951" s="2">
        <v>45882</v>
      </c>
      <c r="F951" s="2" cm="1">
        <f t="array" ref="F951">_xlfn.IFS(B951="Owner Surrender",E951,B951="Stray",E951+6,B951="Stray w/identification",E951+11,B951="Bite",E951+10,B951="Other",Blank)</f>
        <v>45888</v>
      </c>
      <c r="G951" s="2">
        <v>45888</v>
      </c>
      <c r="H951" s="5">
        <f t="shared" si="56"/>
        <v>6</v>
      </c>
      <c r="I951" s="5">
        <f t="shared" si="57"/>
        <v>0</v>
      </c>
      <c r="J951" s="2" t="s">
        <v>18</v>
      </c>
      <c r="K951" s="2" t="s">
        <v>586</v>
      </c>
      <c r="M951" t="s">
        <v>19</v>
      </c>
      <c r="AD951" s="33" t="str">
        <f t="shared" si="52"/>
        <v>Tuesday</v>
      </c>
    </row>
    <row r="952" spans="1:30" x14ac:dyDescent="0.2">
      <c r="A952" s="3">
        <v>41560</v>
      </c>
      <c r="B952" s="2" t="s">
        <v>36</v>
      </c>
      <c r="C952" t="s">
        <v>7</v>
      </c>
      <c r="D952" t="s">
        <v>207</v>
      </c>
      <c r="E952" s="2">
        <v>45884</v>
      </c>
      <c r="F952" s="2" cm="1">
        <f t="array" ref="F952">_xlfn.IFS(B952="Owner Surrender",E952,B952="Stray",E952+6,B952="Stray w/identification",E952+11,B952="Bite",E952+10,B952="Other",Blank)</f>
        <v>45884</v>
      </c>
      <c r="G952" s="2">
        <v>45888</v>
      </c>
      <c r="H952" s="5">
        <f t="shared" si="56"/>
        <v>4</v>
      </c>
      <c r="I952" s="5">
        <f t="shared" si="57"/>
        <v>4</v>
      </c>
      <c r="J952" s="2" t="s">
        <v>31</v>
      </c>
      <c r="K952" s="2" t="s">
        <v>587</v>
      </c>
      <c r="AD952" s="33" t="str">
        <f t="shared" si="52"/>
        <v>Tuesday</v>
      </c>
    </row>
    <row r="953" spans="1:30" x14ac:dyDescent="0.2">
      <c r="A953" s="3">
        <v>41561</v>
      </c>
      <c r="B953" s="2" t="s">
        <v>36</v>
      </c>
      <c r="C953" t="s">
        <v>7</v>
      </c>
      <c r="D953" t="s">
        <v>207</v>
      </c>
      <c r="E953" s="2">
        <v>45884</v>
      </c>
      <c r="F953" s="2" cm="1">
        <f t="array" ref="F953">_xlfn.IFS(B953="Owner Surrender",E953,B953="Stray",E953+6,B953="Stray w/identification",E953+11,B953="Bite",E953+10,B953="Other",Blank)</f>
        <v>45884</v>
      </c>
      <c r="G953" s="2">
        <v>45888</v>
      </c>
      <c r="H953" s="5">
        <f t="shared" si="56"/>
        <v>4</v>
      </c>
      <c r="I953" s="5">
        <f t="shared" si="57"/>
        <v>4</v>
      </c>
      <c r="J953" s="2" t="s">
        <v>31</v>
      </c>
      <c r="K953" s="2" t="s">
        <v>587</v>
      </c>
      <c r="AD953" s="33" t="str">
        <f t="shared" si="52"/>
        <v>Tuesday</v>
      </c>
    </row>
    <row r="954" spans="1:30" x14ac:dyDescent="0.2">
      <c r="A954" s="3">
        <v>41562</v>
      </c>
      <c r="B954" s="2" t="s">
        <v>36</v>
      </c>
      <c r="C954" t="s">
        <v>7</v>
      </c>
      <c r="D954" t="s">
        <v>207</v>
      </c>
      <c r="E954" s="2">
        <v>45884</v>
      </c>
      <c r="F954" s="2" cm="1">
        <f t="array" ref="F954">_xlfn.IFS(B954="Owner Surrender",E954,B954="Stray",E954+6,B954="Stray w/identification",E954+11,B954="Bite",E954+10,B954="Other",Blank)</f>
        <v>45884</v>
      </c>
      <c r="G954" s="2">
        <v>45888</v>
      </c>
      <c r="H954" s="5">
        <f t="shared" si="56"/>
        <v>4</v>
      </c>
      <c r="I954" s="5">
        <f t="shared" si="57"/>
        <v>4</v>
      </c>
      <c r="J954" s="2" t="s">
        <v>31</v>
      </c>
      <c r="K954" s="2" t="s">
        <v>587</v>
      </c>
      <c r="AD954" s="33" t="str">
        <f t="shared" si="52"/>
        <v>Tuesday</v>
      </c>
    </row>
    <row r="955" spans="1:30" x14ac:dyDescent="0.2">
      <c r="A955" s="3">
        <v>41563</v>
      </c>
      <c r="B955" s="2" t="s">
        <v>38</v>
      </c>
      <c r="C955" t="s">
        <v>7</v>
      </c>
      <c r="D955" t="s">
        <v>207</v>
      </c>
      <c r="E955" s="2">
        <v>45885</v>
      </c>
      <c r="F955" s="2" cm="1">
        <f t="array" ref="F955">_xlfn.IFS(B955="Owner Surrender",E955,B955="Stray",E955+6,B955="Stray w/identification",E955+11,B955="Bite",E955+10,B955="Other",Blank)</f>
        <v>45891</v>
      </c>
      <c r="G955" s="2">
        <v>45897</v>
      </c>
      <c r="H955" s="5">
        <f t="shared" si="56"/>
        <v>12</v>
      </c>
      <c r="I955" s="5">
        <f t="shared" si="57"/>
        <v>6</v>
      </c>
      <c r="J955" s="2" t="s">
        <v>31</v>
      </c>
      <c r="K955" s="2" t="s">
        <v>588</v>
      </c>
      <c r="M955" t="s">
        <v>33</v>
      </c>
      <c r="AD955" s="33" t="str">
        <f t="shared" si="52"/>
        <v>Thursday</v>
      </c>
    </row>
    <row r="956" spans="1:30" x14ac:dyDescent="0.2">
      <c r="A956" s="3">
        <v>41564</v>
      </c>
      <c r="B956" s="2" t="s">
        <v>36</v>
      </c>
      <c r="C956" t="s">
        <v>7</v>
      </c>
      <c r="D956" t="s">
        <v>207</v>
      </c>
      <c r="E956" s="2">
        <v>45885</v>
      </c>
      <c r="F956" s="2" cm="1">
        <f t="array" ref="F956">_xlfn.IFS(B956="Owner Surrender",E956,B956="Stray",E956+6,B956="Stray w/identification",E956+11,B956="Bite",E956+10,B956="Other",Blank)</f>
        <v>45885</v>
      </c>
      <c r="G956" s="2">
        <v>45888</v>
      </c>
      <c r="H956" s="5">
        <f t="shared" si="56"/>
        <v>3</v>
      </c>
      <c r="I956" s="5">
        <f t="shared" si="57"/>
        <v>3</v>
      </c>
      <c r="J956" s="2" t="s">
        <v>31</v>
      </c>
      <c r="K956" s="2" t="s">
        <v>587</v>
      </c>
      <c r="AD956" s="33" t="str">
        <f t="shared" si="52"/>
        <v>Tuesday</v>
      </c>
    </row>
    <row r="957" spans="1:30" x14ac:dyDescent="0.2">
      <c r="A957" s="3">
        <v>41572</v>
      </c>
      <c r="B957" s="2" t="s">
        <v>38</v>
      </c>
      <c r="C957" t="s">
        <v>7</v>
      </c>
      <c r="D957" t="s">
        <v>208</v>
      </c>
      <c r="E957" s="2">
        <v>45887</v>
      </c>
      <c r="F957" s="2" cm="1">
        <f t="array" ref="F957">_xlfn.IFS(B957="Owner Surrender",E957,B957="Stray",E957+6,B957="Stray w/identification",E957+11,B957="Bite",E957+10,B957="Other",Blank)</f>
        <v>45893</v>
      </c>
      <c r="G957" s="2">
        <v>45888</v>
      </c>
      <c r="H957" s="5">
        <f t="shared" si="56"/>
        <v>1</v>
      </c>
      <c r="I957" s="5">
        <f t="shared" si="57"/>
        <v>-5</v>
      </c>
      <c r="J957" s="2" t="s">
        <v>31</v>
      </c>
      <c r="K957" s="2" t="s">
        <v>143</v>
      </c>
      <c r="AD957" s="33" t="str">
        <f t="shared" si="52"/>
        <v>Tuesday</v>
      </c>
    </row>
    <row r="958" spans="1:30" x14ac:dyDescent="0.2">
      <c r="A958" s="3">
        <v>41573</v>
      </c>
      <c r="B958" s="2" t="s">
        <v>38</v>
      </c>
      <c r="C958" t="s">
        <v>7</v>
      </c>
      <c r="D958" t="s">
        <v>208</v>
      </c>
      <c r="E958" s="2">
        <v>45887</v>
      </c>
      <c r="F958" s="2" cm="1">
        <f t="array" ref="F958">_xlfn.IFS(B958="Owner Surrender",E958,B958="Stray",E958+6,B958="Stray w/identification",E958+11,B958="Bite",E958+10,B958="Other",Blank)</f>
        <v>45893</v>
      </c>
      <c r="G958" s="2">
        <v>45888</v>
      </c>
      <c r="H958" s="5">
        <f t="shared" si="56"/>
        <v>1</v>
      </c>
      <c r="I958" s="5">
        <f t="shared" si="57"/>
        <v>-5</v>
      </c>
      <c r="J958" s="2" t="s">
        <v>31</v>
      </c>
      <c r="K958" s="2" t="s">
        <v>143</v>
      </c>
      <c r="AD958" s="33" t="str">
        <f t="shared" si="52"/>
        <v>Tuesday</v>
      </c>
    </row>
    <row r="959" spans="1:30" x14ac:dyDescent="0.2">
      <c r="A959" s="3">
        <v>41574</v>
      </c>
      <c r="B959" s="2" t="s">
        <v>38</v>
      </c>
      <c r="C959" t="s">
        <v>7</v>
      </c>
      <c r="D959" t="s">
        <v>208</v>
      </c>
      <c r="E959" s="2">
        <v>45887</v>
      </c>
      <c r="F959" s="2" cm="1">
        <f t="array" ref="F959">_xlfn.IFS(B959="Owner Surrender",E959,B959="Stray",E959+6,B959="Stray w/identification",E959+11,B959="Bite",E959+10,B959="Other",Blank)</f>
        <v>45893</v>
      </c>
      <c r="G959" s="2">
        <v>45888</v>
      </c>
      <c r="H959" s="5">
        <f t="shared" si="56"/>
        <v>1</v>
      </c>
      <c r="I959" s="5">
        <f t="shared" si="57"/>
        <v>-5</v>
      </c>
      <c r="J959" s="2" t="s">
        <v>31</v>
      </c>
      <c r="K959" s="2" t="s">
        <v>143</v>
      </c>
      <c r="AD959" s="33" t="str">
        <f t="shared" si="52"/>
        <v>Tuesday</v>
      </c>
    </row>
    <row r="960" spans="1:30" x14ac:dyDescent="0.2">
      <c r="A960" s="3">
        <v>41575</v>
      </c>
      <c r="B960" s="2" t="s">
        <v>38</v>
      </c>
      <c r="C960" t="s">
        <v>7</v>
      </c>
      <c r="D960" t="s">
        <v>208</v>
      </c>
      <c r="E960" s="2">
        <v>45887</v>
      </c>
      <c r="F960" s="2" cm="1">
        <f t="array" ref="F960">_xlfn.IFS(B960="Owner Surrender",E960,B960="Stray",E960+6,B960="Stray w/identification",E960+11,B960="Bite",E960+10,B960="Other",Blank)</f>
        <v>45893</v>
      </c>
      <c r="G960" s="2">
        <v>45888</v>
      </c>
      <c r="H960" s="5">
        <f t="shared" si="56"/>
        <v>1</v>
      </c>
      <c r="I960" s="5">
        <f t="shared" si="57"/>
        <v>-5</v>
      </c>
      <c r="J960" s="2" t="s">
        <v>31</v>
      </c>
      <c r="K960" s="2" t="s">
        <v>143</v>
      </c>
      <c r="AD960" s="33" t="str">
        <f t="shared" si="52"/>
        <v>Tuesday</v>
      </c>
    </row>
    <row r="961" spans="1:30" x14ac:dyDescent="0.2">
      <c r="A961" s="3">
        <v>41577</v>
      </c>
      <c r="B961" s="2" t="s">
        <v>38</v>
      </c>
      <c r="C961" t="s">
        <v>7</v>
      </c>
      <c r="D961" t="s">
        <v>209</v>
      </c>
      <c r="E961" s="2">
        <v>45887</v>
      </c>
      <c r="F961" s="2" cm="1">
        <f t="array" ref="F961">_xlfn.IFS(B961="Owner Surrender",E961,B961="Stray",E961+6,B961="Stray w/identification",E961+11,B961="Bite",E961+10,B961="Other",Blank)</f>
        <v>45893</v>
      </c>
      <c r="G961" s="2">
        <v>45905</v>
      </c>
      <c r="H961" s="5">
        <f t="shared" si="56"/>
        <v>18</v>
      </c>
      <c r="I961" s="5">
        <f t="shared" si="57"/>
        <v>12</v>
      </c>
      <c r="J961" s="2" t="s">
        <v>18</v>
      </c>
      <c r="K961" s="2" t="s">
        <v>586</v>
      </c>
      <c r="M961" t="s">
        <v>19</v>
      </c>
      <c r="AD961" s="33" t="str">
        <f t="shared" si="52"/>
        <v>Friday</v>
      </c>
    </row>
    <row r="962" spans="1:30" x14ac:dyDescent="0.2">
      <c r="A962" s="3">
        <v>41578</v>
      </c>
      <c r="B962" s="2" t="s">
        <v>38</v>
      </c>
      <c r="C962" t="s">
        <v>7</v>
      </c>
      <c r="D962" t="s">
        <v>209</v>
      </c>
      <c r="E962" s="2">
        <v>45887</v>
      </c>
      <c r="F962" s="2" cm="1">
        <f t="array" ref="F962">_xlfn.IFS(B962="Owner Surrender",E962,B962="Stray",E962+6,B962="Stray w/identification",E962+11,B962="Bite",E962+10,B962="Other",Blank)</f>
        <v>45893</v>
      </c>
      <c r="G962" s="2">
        <v>45904</v>
      </c>
      <c r="H962" s="5">
        <f t="shared" si="56"/>
        <v>17</v>
      </c>
      <c r="I962" s="5">
        <f t="shared" si="57"/>
        <v>11</v>
      </c>
      <c r="J962" s="2" t="s">
        <v>18</v>
      </c>
      <c r="K962" s="2" t="s">
        <v>586</v>
      </c>
      <c r="M962" t="s">
        <v>19</v>
      </c>
      <c r="AD962" s="33" t="str">
        <f t="shared" si="52"/>
        <v>Thursday</v>
      </c>
    </row>
    <row r="963" spans="1:30" x14ac:dyDescent="0.2">
      <c r="A963" s="3">
        <v>41580</v>
      </c>
      <c r="B963" s="2" t="s">
        <v>38</v>
      </c>
      <c r="C963" t="s">
        <v>10</v>
      </c>
      <c r="D963" t="s">
        <v>207</v>
      </c>
      <c r="E963" s="2">
        <v>45887</v>
      </c>
      <c r="F963" s="2" cm="1">
        <f t="array" ref="F963">_xlfn.IFS(B963="Owner Surrender",E963,B963="Stray",E963+6,B963="Stray w/identification",E963+11,B963="Bite",E963+10,B963="Other",Blank)</f>
        <v>45893</v>
      </c>
      <c r="G963" s="2">
        <v>45897</v>
      </c>
      <c r="H963" s="5">
        <f t="shared" si="56"/>
        <v>10</v>
      </c>
      <c r="I963" s="5">
        <f t="shared" si="57"/>
        <v>4</v>
      </c>
      <c r="J963" s="2" t="s">
        <v>31</v>
      </c>
      <c r="K963" s="2" t="s">
        <v>588</v>
      </c>
      <c r="M963" t="s">
        <v>33</v>
      </c>
      <c r="AD963" s="33" t="str">
        <f t="shared" si="52"/>
        <v>Thursday</v>
      </c>
    </row>
    <row r="964" spans="1:30" x14ac:dyDescent="0.2">
      <c r="A964" s="3">
        <v>41583</v>
      </c>
      <c r="B964" s="2" t="s">
        <v>36</v>
      </c>
      <c r="C964" t="s">
        <v>7</v>
      </c>
      <c r="D964" t="s">
        <v>207</v>
      </c>
      <c r="E964" s="2">
        <v>45888</v>
      </c>
      <c r="F964" s="2" cm="1">
        <f t="array" ref="F964">_xlfn.IFS(B964="Owner Surrender",E964,B964="Stray",E964+6,B964="Stray w/identification",E964+11,B964="Bite",E964+10,B964="Other",Blank)</f>
        <v>45888</v>
      </c>
      <c r="G964" s="2">
        <v>45897</v>
      </c>
      <c r="H964" s="5">
        <f t="shared" si="56"/>
        <v>9</v>
      </c>
      <c r="I964" s="5">
        <f t="shared" si="57"/>
        <v>9</v>
      </c>
      <c r="J964" s="2" t="s">
        <v>31</v>
      </c>
      <c r="K964" s="2" t="s">
        <v>587</v>
      </c>
      <c r="M964" t="s">
        <v>650</v>
      </c>
      <c r="AD964" s="33" t="str">
        <f t="shared" ref="AD964:AD1027" si="58">TEXT(G964,"DDDD")</f>
        <v>Thursday</v>
      </c>
    </row>
    <row r="965" spans="1:30" x14ac:dyDescent="0.2">
      <c r="A965" s="3">
        <v>41584</v>
      </c>
      <c r="B965" s="2" t="s">
        <v>36</v>
      </c>
      <c r="C965" t="s">
        <v>7</v>
      </c>
      <c r="D965" t="s">
        <v>208</v>
      </c>
      <c r="E965" s="2">
        <v>45888</v>
      </c>
      <c r="F965" s="2" cm="1">
        <f t="array" ref="F965">_xlfn.IFS(B965="Owner Surrender",E965,B965="Stray",E965+6,B965="Stray w/identification",E965+11,B965="Bite",E965+10,B965="Other",Blank)</f>
        <v>45888</v>
      </c>
      <c r="G965" s="2">
        <v>45897</v>
      </c>
      <c r="H965" s="5">
        <f t="shared" si="56"/>
        <v>9</v>
      </c>
      <c r="I965" s="5">
        <f t="shared" si="57"/>
        <v>9</v>
      </c>
      <c r="J965" s="2" t="s">
        <v>31</v>
      </c>
      <c r="K965" s="2" t="s">
        <v>587</v>
      </c>
      <c r="M965" t="s">
        <v>649</v>
      </c>
      <c r="AD965" s="33" t="str">
        <f t="shared" si="58"/>
        <v>Thursday</v>
      </c>
    </row>
    <row r="966" spans="1:30" x14ac:dyDescent="0.2">
      <c r="A966" s="3">
        <v>41585</v>
      </c>
      <c r="B966" s="2" t="s">
        <v>36</v>
      </c>
      <c r="C966" t="s">
        <v>7</v>
      </c>
      <c r="D966" t="s">
        <v>208</v>
      </c>
      <c r="E966" s="2">
        <v>45888</v>
      </c>
      <c r="F966" s="2" cm="1">
        <f t="array" ref="F966">_xlfn.IFS(B966="Owner Surrender",E966,B966="Stray",E966+6,B966="Stray w/identification",E966+11,B966="Bite",E966+10,B966="Other",Blank)</f>
        <v>45888</v>
      </c>
      <c r="G966" s="2">
        <v>45897</v>
      </c>
      <c r="H966" s="5">
        <f t="shared" si="56"/>
        <v>9</v>
      </c>
      <c r="I966" s="5">
        <f t="shared" si="57"/>
        <v>9</v>
      </c>
      <c r="J966" s="2" t="s">
        <v>31</v>
      </c>
      <c r="K966" s="2" t="s">
        <v>587</v>
      </c>
      <c r="M966" t="s">
        <v>649</v>
      </c>
      <c r="AD966" s="33" t="str">
        <f t="shared" si="58"/>
        <v>Thursday</v>
      </c>
    </row>
    <row r="967" spans="1:30" x14ac:dyDescent="0.2">
      <c r="A967" s="3">
        <v>41586</v>
      </c>
      <c r="B967" s="2" t="s">
        <v>36</v>
      </c>
      <c r="C967" t="s">
        <v>7</v>
      </c>
      <c r="D967" t="s">
        <v>208</v>
      </c>
      <c r="E967" s="2">
        <v>45888</v>
      </c>
      <c r="F967" s="2" cm="1">
        <f t="array" ref="F967">_xlfn.IFS(B967="Owner Surrender",E967,B967="Stray",E967+6,B967="Stray w/identification",E967+11,B967="Bite",E967+10,B967="Other",Blank)</f>
        <v>45888</v>
      </c>
      <c r="G967" s="2">
        <v>45897</v>
      </c>
      <c r="H967" s="5">
        <f t="shared" si="56"/>
        <v>9</v>
      </c>
      <c r="I967" s="5">
        <f t="shared" si="57"/>
        <v>9</v>
      </c>
      <c r="J967" s="2" t="s">
        <v>31</v>
      </c>
      <c r="K967" s="2" t="s">
        <v>587</v>
      </c>
      <c r="M967" t="s">
        <v>649</v>
      </c>
      <c r="AD967" s="33" t="str">
        <f t="shared" si="58"/>
        <v>Thursday</v>
      </c>
    </row>
    <row r="968" spans="1:30" x14ac:dyDescent="0.2">
      <c r="A968" s="3">
        <v>41587</v>
      </c>
      <c r="B968" s="2" t="s">
        <v>36</v>
      </c>
      <c r="C968" t="s">
        <v>7</v>
      </c>
      <c r="D968" t="s">
        <v>208</v>
      </c>
      <c r="E968" s="2">
        <v>45888</v>
      </c>
      <c r="F968" s="2" cm="1">
        <f t="array" ref="F968">_xlfn.IFS(B968="Owner Surrender",E968,B968="Stray",E968+6,B968="Stray w/identification",E968+11,B968="Bite",E968+10,B968="Other",Blank)</f>
        <v>45888</v>
      </c>
      <c r="G968" s="2">
        <v>45897</v>
      </c>
      <c r="H968" s="5">
        <f t="shared" si="56"/>
        <v>9</v>
      </c>
      <c r="I968" s="5">
        <f t="shared" si="57"/>
        <v>9</v>
      </c>
      <c r="J968" s="2" t="s">
        <v>31</v>
      </c>
      <c r="K968" s="2" t="s">
        <v>587</v>
      </c>
      <c r="M968" t="s">
        <v>649</v>
      </c>
      <c r="AD968" s="33" t="str">
        <f t="shared" si="58"/>
        <v>Thursday</v>
      </c>
    </row>
    <row r="969" spans="1:30" x14ac:dyDescent="0.2">
      <c r="A969" s="3">
        <v>41588</v>
      </c>
      <c r="B969" s="2" t="s">
        <v>38</v>
      </c>
      <c r="C969" t="s">
        <v>7</v>
      </c>
      <c r="D969" t="s">
        <v>207</v>
      </c>
      <c r="E969" s="2">
        <v>45888</v>
      </c>
      <c r="F969" s="2" cm="1">
        <f t="array" ref="F969">_xlfn.IFS(B969="Owner Surrender",E969,B969="Stray",E969+6,B969="Stray w/identification",E969+11,B969="Bite",E969+10,B969="Other",Blank)</f>
        <v>45894</v>
      </c>
      <c r="G969" s="2">
        <v>45897</v>
      </c>
      <c r="H969" s="5">
        <f t="shared" si="56"/>
        <v>9</v>
      </c>
      <c r="I969" s="5">
        <f t="shared" si="57"/>
        <v>3</v>
      </c>
      <c r="J969" s="2" t="s">
        <v>31</v>
      </c>
      <c r="K969" s="2" t="s">
        <v>24</v>
      </c>
      <c r="AD969" s="33" t="str">
        <f t="shared" si="58"/>
        <v>Thursday</v>
      </c>
    </row>
    <row r="970" spans="1:30" x14ac:dyDescent="0.2">
      <c r="A970" s="3">
        <v>41594</v>
      </c>
      <c r="B970" s="2" t="s">
        <v>38</v>
      </c>
      <c r="C970" t="s">
        <v>15</v>
      </c>
      <c r="D970" t="s">
        <v>209</v>
      </c>
      <c r="E970" s="2">
        <v>45888</v>
      </c>
      <c r="F970" s="2" cm="1">
        <f t="array" ref="F970">_xlfn.IFS(B970="Owner Surrender",E970,B970="Stray",E970+6,B970="Stray w/identification",E970+11,B970="Bite",E970+10,B970="Other",Blank)</f>
        <v>45894</v>
      </c>
      <c r="G970" s="2">
        <v>45910</v>
      </c>
      <c r="H970" s="5">
        <f t="shared" si="56"/>
        <v>22</v>
      </c>
      <c r="I970" s="5">
        <f t="shared" si="57"/>
        <v>16</v>
      </c>
      <c r="J970" s="2" t="s">
        <v>11</v>
      </c>
      <c r="K970" s="2" t="s">
        <v>586</v>
      </c>
      <c r="AD970" s="33" t="str">
        <f t="shared" si="58"/>
        <v>Wednesday</v>
      </c>
    </row>
    <row r="971" spans="1:30" x14ac:dyDescent="0.2">
      <c r="A971" s="3">
        <v>41595</v>
      </c>
      <c r="B971" s="2" t="s">
        <v>38</v>
      </c>
      <c r="C971" t="s">
        <v>7</v>
      </c>
      <c r="D971" t="s">
        <v>207</v>
      </c>
      <c r="E971" s="2">
        <v>45889</v>
      </c>
      <c r="F971" s="2" cm="1">
        <f t="array" ref="F971">_xlfn.IFS(B971="Owner Surrender",E971,B971="Stray",E971+6,B971="Stray w/identification",E971+11,B971="Bite",E971+10,B971="Other",Blank)</f>
        <v>45895</v>
      </c>
      <c r="G971" s="2">
        <v>45902</v>
      </c>
      <c r="H971" s="5">
        <f t="shared" si="56"/>
        <v>13</v>
      </c>
      <c r="I971" s="5">
        <f t="shared" si="57"/>
        <v>7</v>
      </c>
      <c r="J971" s="2" t="s">
        <v>31</v>
      </c>
      <c r="K971" s="2" t="s">
        <v>587</v>
      </c>
      <c r="M971" t="s">
        <v>651</v>
      </c>
      <c r="AD971" s="33" t="str">
        <f t="shared" si="58"/>
        <v>Tuesday</v>
      </c>
    </row>
    <row r="972" spans="1:30" x14ac:dyDescent="0.2">
      <c r="A972" s="3">
        <v>41596</v>
      </c>
      <c r="B972" s="2" t="s">
        <v>38</v>
      </c>
      <c r="C972" t="s">
        <v>7</v>
      </c>
      <c r="D972" t="s">
        <v>208</v>
      </c>
      <c r="E972" s="2">
        <v>45889</v>
      </c>
      <c r="F972" s="2" cm="1">
        <f t="array" ref="F972">_xlfn.IFS(B972="Owner Surrender",E972,B972="Stray",E972+6,B972="Stray w/identification",E972+11,B972="Bite",E972+10,B972="Other",Blank)</f>
        <v>45895</v>
      </c>
      <c r="G972" s="2">
        <v>45902</v>
      </c>
      <c r="H972" s="5">
        <f t="shared" si="56"/>
        <v>13</v>
      </c>
      <c r="I972" s="5">
        <f t="shared" si="57"/>
        <v>7</v>
      </c>
      <c r="J972" s="2" t="s">
        <v>31</v>
      </c>
      <c r="K972" s="2" t="s">
        <v>587</v>
      </c>
      <c r="M972" t="s">
        <v>652</v>
      </c>
      <c r="AD972" s="33" t="str">
        <f t="shared" si="58"/>
        <v>Tuesday</v>
      </c>
    </row>
    <row r="973" spans="1:30" x14ac:dyDescent="0.2">
      <c r="A973" s="3">
        <v>41597</v>
      </c>
      <c r="B973" s="2" t="s">
        <v>38</v>
      </c>
      <c r="C973" t="s">
        <v>7</v>
      </c>
      <c r="D973" t="s">
        <v>208</v>
      </c>
      <c r="E973" s="2">
        <v>45889</v>
      </c>
      <c r="F973" s="2" cm="1">
        <f t="array" ref="F973">_xlfn.IFS(B973="Owner Surrender",E973,B973="Stray",E973+6,B973="Stray w/identification",E973+11,B973="Bite",E973+10,B973="Other",Blank)</f>
        <v>45895</v>
      </c>
      <c r="G973" s="2">
        <v>45902</v>
      </c>
      <c r="H973" s="5">
        <f t="shared" si="56"/>
        <v>13</v>
      </c>
      <c r="I973" s="5">
        <f t="shared" si="57"/>
        <v>7</v>
      </c>
      <c r="J973" s="2" t="s">
        <v>31</v>
      </c>
      <c r="K973" s="2" t="s">
        <v>587</v>
      </c>
      <c r="M973" t="s">
        <v>652</v>
      </c>
      <c r="AD973" s="33" t="str">
        <f t="shared" si="58"/>
        <v>Tuesday</v>
      </c>
    </row>
    <row r="974" spans="1:30" x14ac:dyDescent="0.2">
      <c r="A974" s="3">
        <v>41621</v>
      </c>
      <c r="B974" s="2" t="s">
        <v>36</v>
      </c>
      <c r="C974" t="s">
        <v>7</v>
      </c>
      <c r="D974" t="s">
        <v>207</v>
      </c>
      <c r="E974" s="2">
        <v>45891</v>
      </c>
      <c r="F974" s="2" cm="1">
        <f t="array" ref="F974">_xlfn.IFS(B974="Owner Surrender",E974,B974="Stray",E974+6,B974="Stray w/identification",E974+11,B974="Bite",E974+10,B974="Other",Blank)</f>
        <v>45891</v>
      </c>
      <c r="G974" s="2">
        <v>45896</v>
      </c>
      <c r="H974" s="5">
        <f t="shared" si="56"/>
        <v>5</v>
      </c>
      <c r="I974" s="5">
        <f t="shared" si="57"/>
        <v>5</v>
      </c>
      <c r="J974" s="2" t="s">
        <v>18</v>
      </c>
      <c r="K974" s="2" t="s">
        <v>586</v>
      </c>
      <c r="M974" t="s">
        <v>606</v>
      </c>
      <c r="AD974" s="33" t="str">
        <f t="shared" si="58"/>
        <v>Wednesday</v>
      </c>
    </row>
    <row r="975" spans="1:30" x14ac:dyDescent="0.2">
      <c r="A975" s="3">
        <v>41622</v>
      </c>
      <c r="B975" s="2" t="s">
        <v>36</v>
      </c>
      <c r="C975" t="s">
        <v>7</v>
      </c>
      <c r="D975" t="s">
        <v>207</v>
      </c>
      <c r="E975" s="2">
        <v>45891</v>
      </c>
      <c r="F975" s="2" cm="1">
        <f t="array" ref="F975">_xlfn.IFS(B975="Owner Surrender",E975,B975="Stray",E975+6,B975="Stray w/identification",E975+11,B975="Bite",E975+10,B975="Other",Blank)</f>
        <v>45891</v>
      </c>
      <c r="G975" s="2">
        <v>45896</v>
      </c>
      <c r="H975" s="5">
        <f t="shared" si="56"/>
        <v>5</v>
      </c>
      <c r="I975" s="5">
        <f t="shared" si="57"/>
        <v>5</v>
      </c>
      <c r="J975" s="2" t="s">
        <v>18</v>
      </c>
      <c r="K975" s="2" t="s">
        <v>586</v>
      </c>
      <c r="M975" t="s">
        <v>606</v>
      </c>
      <c r="AD975" s="33" t="str">
        <f t="shared" si="58"/>
        <v>Wednesday</v>
      </c>
    </row>
    <row r="976" spans="1:30" x14ac:dyDescent="0.2">
      <c r="A976" s="3">
        <v>41625</v>
      </c>
      <c r="B976" s="2" t="s">
        <v>36</v>
      </c>
      <c r="C976" t="s">
        <v>7</v>
      </c>
      <c r="D976" t="s">
        <v>208</v>
      </c>
      <c r="E976" s="2">
        <v>45891</v>
      </c>
      <c r="F976" s="2" cm="1">
        <f t="array" ref="F976">_xlfn.IFS(B976="Owner Surrender",E976,B976="Stray",E976+6,B976="Stray w/identification",E976+11,B976="Bite",E976+10,B976="Other",Blank)</f>
        <v>45891</v>
      </c>
      <c r="G976" s="2">
        <v>45891</v>
      </c>
      <c r="H976" s="5">
        <f t="shared" si="56"/>
        <v>0</v>
      </c>
      <c r="I976" s="5">
        <f t="shared" si="57"/>
        <v>0</v>
      </c>
      <c r="J976" s="2" t="s">
        <v>31</v>
      </c>
      <c r="K976" s="2" t="s">
        <v>588</v>
      </c>
      <c r="M976" t="s">
        <v>653</v>
      </c>
      <c r="AD976" s="33" t="str">
        <f t="shared" si="58"/>
        <v>Friday</v>
      </c>
    </row>
    <row r="977" spans="1:30" x14ac:dyDescent="0.2">
      <c r="A977" s="3">
        <v>41626</v>
      </c>
      <c r="B977" s="2" t="s">
        <v>36</v>
      </c>
      <c r="C977" t="s">
        <v>7</v>
      </c>
      <c r="D977" t="s">
        <v>208</v>
      </c>
      <c r="E977" s="2">
        <v>45891</v>
      </c>
      <c r="F977" s="2" cm="1">
        <f t="array" ref="F977">_xlfn.IFS(B977="Owner Surrender",E977,B977="Stray",E977+6,B977="Stray w/identification",E977+11,B977="Bite",E977+10,B977="Other",Blank)</f>
        <v>45891</v>
      </c>
      <c r="G977" s="2">
        <v>45891</v>
      </c>
      <c r="H977" s="5">
        <f t="shared" si="56"/>
        <v>0</v>
      </c>
      <c r="I977" s="5">
        <f t="shared" si="57"/>
        <v>0</v>
      </c>
      <c r="J977" s="2" t="s">
        <v>31</v>
      </c>
      <c r="K977" s="2" t="s">
        <v>588</v>
      </c>
      <c r="M977" t="s">
        <v>653</v>
      </c>
      <c r="AD977" s="33" t="str">
        <f t="shared" si="58"/>
        <v>Friday</v>
      </c>
    </row>
    <row r="978" spans="1:30" x14ac:dyDescent="0.2">
      <c r="A978" s="3">
        <v>41627</v>
      </c>
      <c r="B978" s="2" t="s">
        <v>36</v>
      </c>
      <c r="C978" t="s">
        <v>7</v>
      </c>
      <c r="D978" t="s">
        <v>208</v>
      </c>
      <c r="E978" s="2">
        <v>45891</v>
      </c>
      <c r="F978" s="2" cm="1">
        <f t="array" ref="F978">_xlfn.IFS(B978="Owner Surrender",E978,B978="Stray",E978+6,B978="Stray w/identification",E978+11,B978="Bite",E978+10,B978="Other",Blank)</f>
        <v>45891</v>
      </c>
      <c r="G978" s="2">
        <v>45891</v>
      </c>
      <c r="H978" s="5">
        <f t="shared" si="56"/>
        <v>0</v>
      </c>
      <c r="I978" s="5">
        <f t="shared" si="57"/>
        <v>0</v>
      </c>
      <c r="J978" s="2" t="s">
        <v>31</v>
      </c>
      <c r="K978" s="2" t="s">
        <v>588</v>
      </c>
      <c r="M978" t="s">
        <v>653</v>
      </c>
      <c r="AD978" s="33" t="str">
        <f t="shared" si="58"/>
        <v>Friday</v>
      </c>
    </row>
    <row r="979" spans="1:30" x14ac:dyDescent="0.2">
      <c r="A979" s="3">
        <v>41628</v>
      </c>
      <c r="B979" s="2" t="s">
        <v>36</v>
      </c>
      <c r="C979" t="s">
        <v>10</v>
      </c>
      <c r="D979" t="s">
        <v>208</v>
      </c>
      <c r="E979" s="2">
        <v>45891</v>
      </c>
      <c r="F979" s="2" cm="1">
        <f t="array" ref="F979">_xlfn.IFS(B979="Owner Surrender",E979,B979="Stray",E979+6,B979="Stray w/identification",E979+11,B979="Bite",E979+10,B979="Other",Blank)</f>
        <v>45891</v>
      </c>
      <c r="G979" s="2">
        <v>45891</v>
      </c>
      <c r="H979" s="5">
        <f t="shared" si="56"/>
        <v>0</v>
      </c>
      <c r="I979" s="5">
        <f t="shared" si="57"/>
        <v>0</v>
      </c>
      <c r="J979" s="2" t="s">
        <v>31</v>
      </c>
      <c r="K979" s="2" t="s">
        <v>588</v>
      </c>
      <c r="M979" t="s">
        <v>653</v>
      </c>
      <c r="AD979" s="33" t="str">
        <f t="shared" si="58"/>
        <v>Friday</v>
      </c>
    </row>
    <row r="980" spans="1:30" x14ac:dyDescent="0.2">
      <c r="A980" s="3">
        <v>41629</v>
      </c>
      <c r="B980" s="2" t="s">
        <v>36</v>
      </c>
      <c r="C980" t="s">
        <v>10</v>
      </c>
      <c r="D980" t="s">
        <v>208</v>
      </c>
      <c r="E980" s="2">
        <v>45891</v>
      </c>
      <c r="F980" s="2" cm="1">
        <f t="array" ref="F980">_xlfn.IFS(B980="Owner Surrender",E980,B980="Stray",E980+6,B980="Stray w/identification",E980+11,B980="Bite",E980+10,B980="Other",Blank)</f>
        <v>45891</v>
      </c>
      <c r="G980" s="2">
        <v>45891</v>
      </c>
      <c r="H980" s="5">
        <f t="shared" si="56"/>
        <v>0</v>
      </c>
      <c r="I980" s="5">
        <f t="shared" si="57"/>
        <v>0</v>
      </c>
      <c r="J980" s="2" t="s">
        <v>31</v>
      </c>
      <c r="K980" s="2" t="s">
        <v>588</v>
      </c>
      <c r="M980" t="s">
        <v>653</v>
      </c>
      <c r="AD980" s="33" t="str">
        <f t="shared" si="58"/>
        <v>Friday</v>
      </c>
    </row>
    <row r="981" spans="1:30" x14ac:dyDescent="0.2">
      <c r="A981" s="3">
        <v>41631</v>
      </c>
      <c r="B981" s="2" t="s">
        <v>36</v>
      </c>
      <c r="C981" t="s">
        <v>7</v>
      </c>
      <c r="D981" t="s">
        <v>209</v>
      </c>
      <c r="E981" s="2">
        <v>45891</v>
      </c>
      <c r="F981" s="2" cm="1">
        <f t="array" ref="F981">_xlfn.IFS(B981="Owner Surrender",E981,B981="Stray",E981+6,B981="Stray w/identification",E981+11,B981="Bite",E981+10,B981="Other",Blank)</f>
        <v>45891</v>
      </c>
      <c r="H981" s="5">
        <f t="shared" si="56"/>
        <v>-45891</v>
      </c>
      <c r="I981" s="5">
        <f t="shared" si="57"/>
        <v>-45891</v>
      </c>
      <c r="J981" s="2" t="s">
        <v>21</v>
      </c>
      <c r="K981" s="2" t="s">
        <v>586</v>
      </c>
      <c r="M981" t="s">
        <v>645</v>
      </c>
      <c r="AD981" s="33" t="str">
        <f t="shared" si="58"/>
        <v>Saturday</v>
      </c>
    </row>
    <row r="982" spans="1:30" x14ac:dyDescent="0.2">
      <c r="A982" s="3">
        <v>41632</v>
      </c>
      <c r="B982" s="2" t="s">
        <v>36</v>
      </c>
      <c r="C982" t="s">
        <v>7</v>
      </c>
      <c r="D982" t="s">
        <v>207</v>
      </c>
      <c r="E982" s="2">
        <v>45891</v>
      </c>
      <c r="F982" s="2" cm="1">
        <f t="array" ref="F982">_xlfn.IFS(B982="Owner Surrender",E982,B982="Stray",E982+6,B982="Stray w/identification",E982+11,B982="Bite",E982+10,B982="Other",Blank)</f>
        <v>45891</v>
      </c>
      <c r="G982" s="2">
        <v>45898</v>
      </c>
      <c r="H982" s="5">
        <f t="shared" si="56"/>
        <v>7</v>
      </c>
      <c r="I982" s="5">
        <f t="shared" si="57"/>
        <v>7</v>
      </c>
      <c r="J982" s="2" t="s">
        <v>18</v>
      </c>
      <c r="K982" s="2" t="s">
        <v>586</v>
      </c>
      <c r="M982" t="s">
        <v>606</v>
      </c>
      <c r="AD982" s="33" t="str">
        <f t="shared" si="58"/>
        <v>Friday</v>
      </c>
    </row>
    <row r="983" spans="1:30" x14ac:dyDescent="0.2">
      <c r="A983" s="3">
        <v>41638</v>
      </c>
      <c r="B983" s="2" t="s">
        <v>36</v>
      </c>
      <c r="C983" t="s">
        <v>7</v>
      </c>
      <c r="D983" t="s">
        <v>208</v>
      </c>
      <c r="E983" s="2">
        <v>45894</v>
      </c>
      <c r="F983" s="2" cm="1">
        <f t="array" ref="F983">_xlfn.IFS(B983="Owner Surrender",E983,B983="Stray",E983+6,B983="Stray w/identification",E983+11,B983="Bite",E983+10,B983="Other",Blank)</f>
        <v>45894</v>
      </c>
      <c r="G983" s="2">
        <v>45902</v>
      </c>
      <c r="H983" s="5">
        <f t="shared" si="56"/>
        <v>8</v>
      </c>
      <c r="I983" s="5">
        <f t="shared" si="57"/>
        <v>8</v>
      </c>
      <c r="J983" s="2" t="s">
        <v>31</v>
      </c>
      <c r="K983" s="2" t="s">
        <v>587</v>
      </c>
      <c r="AD983" s="33" t="str">
        <f t="shared" si="58"/>
        <v>Tuesday</v>
      </c>
    </row>
    <row r="984" spans="1:30" x14ac:dyDescent="0.2">
      <c r="A984" s="3">
        <v>41644</v>
      </c>
      <c r="B984" s="2" t="s">
        <v>36</v>
      </c>
      <c r="C984" t="s">
        <v>7</v>
      </c>
      <c r="D984" t="s">
        <v>208</v>
      </c>
      <c r="E984" s="2">
        <v>45894</v>
      </c>
      <c r="F984" s="2" cm="1">
        <f t="array" ref="F984">_xlfn.IFS(B984="Owner Surrender",E984,B984="Stray",E984+6,B984="Stray w/identification",E984+11,B984="Bite",E984+10,B984="Other",Blank)</f>
        <v>45894</v>
      </c>
      <c r="G984" s="2">
        <v>45905</v>
      </c>
      <c r="H984" s="5">
        <f t="shared" si="56"/>
        <v>11</v>
      </c>
      <c r="I984" s="5">
        <f t="shared" si="57"/>
        <v>11</v>
      </c>
      <c r="J984" s="2" t="s">
        <v>18</v>
      </c>
      <c r="K984" s="2" t="s">
        <v>586</v>
      </c>
      <c r="M984" t="s">
        <v>19</v>
      </c>
      <c r="AD984" s="33" t="str">
        <f t="shared" si="58"/>
        <v>Friday</v>
      </c>
    </row>
    <row r="985" spans="1:30" x14ac:dyDescent="0.2">
      <c r="A985" s="3">
        <v>41646</v>
      </c>
      <c r="B985" s="2" t="s">
        <v>38</v>
      </c>
      <c r="C985" t="s">
        <v>10</v>
      </c>
      <c r="D985" t="s">
        <v>208</v>
      </c>
      <c r="E985" s="2">
        <v>45894</v>
      </c>
      <c r="F985" s="2" cm="1">
        <f t="array" ref="F985">_xlfn.IFS(B985="Owner Surrender",E985,B985="Stray",E985+6,B985="Stray w/identification",E985+11,B985="Bite",E985+10,B985="Other",Blank)</f>
        <v>45900</v>
      </c>
      <c r="G985" s="2">
        <v>45908</v>
      </c>
      <c r="H985" s="5">
        <f t="shared" si="56"/>
        <v>14</v>
      </c>
      <c r="I985" s="5">
        <f t="shared" si="57"/>
        <v>8</v>
      </c>
      <c r="J985" s="2" t="s">
        <v>31</v>
      </c>
      <c r="K985" s="2" t="s">
        <v>587</v>
      </c>
      <c r="M985" t="s">
        <v>654</v>
      </c>
      <c r="AD985" s="33" t="str">
        <f t="shared" si="58"/>
        <v>Monday</v>
      </c>
    </row>
    <row r="986" spans="1:30" x14ac:dyDescent="0.2">
      <c r="A986" s="3">
        <v>41647</v>
      </c>
      <c r="B986" s="2" t="s">
        <v>38</v>
      </c>
      <c r="C986" t="s">
        <v>10</v>
      </c>
      <c r="D986" t="s">
        <v>208</v>
      </c>
      <c r="E986" s="2">
        <v>45894</v>
      </c>
      <c r="F986" s="2" cm="1">
        <f t="array" ref="F986">_xlfn.IFS(B986="Owner Surrender",E986,B986="Stray",E986+6,B986="Stray w/identification",E986+11,B986="Bite",E986+10,B986="Other",Blank)</f>
        <v>45900</v>
      </c>
      <c r="G986" s="2">
        <v>45908</v>
      </c>
      <c r="H986" s="5">
        <f t="shared" ref="H986:H1049" si="59">+G986-E986</f>
        <v>14</v>
      </c>
      <c r="I986" s="5">
        <f t="shared" ref="I986:I1049" si="60">G986-F986</f>
        <v>8</v>
      </c>
      <c r="J986" s="2" t="s">
        <v>31</v>
      </c>
      <c r="K986" s="2" t="s">
        <v>587</v>
      </c>
      <c r="M986" t="s">
        <v>654</v>
      </c>
      <c r="AD986" s="33" t="str">
        <f t="shared" si="58"/>
        <v>Monday</v>
      </c>
    </row>
    <row r="987" spans="1:30" x14ac:dyDescent="0.2">
      <c r="A987" s="3">
        <v>41648</v>
      </c>
      <c r="B987" s="2" t="s">
        <v>38</v>
      </c>
      <c r="C987" t="s">
        <v>10</v>
      </c>
      <c r="D987" t="s">
        <v>207</v>
      </c>
      <c r="E987" s="2">
        <v>45894</v>
      </c>
      <c r="F987" s="2" cm="1">
        <f t="array" ref="F987">_xlfn.IFS(B987="Owner Surrender",E987,B987="Stray",E987+6,B987="Stray w/identification",E987+11,B987="Bite",E987+10,B987="Other",Blank)</f>
        <v>45900</v>
      </c>
      <c r="G987" s="2">
        <v>45905</v>
      </c>
      <c r="H987" s="5">
        <f t="shared" si="59"/>
        <v>11</v>
      </c>
      <c r="I987" s="5">
        <f t="shared" si="60"/>
        <v>5</v>
      </c>
      <c r="J987" s="2" t="s">
        <v>18</v>
      </c>
      <c r="K987" s="2" t="s">
        <v>586</v>
      </c>
      <c r="M987" t="s">
        <v>19</v>
      </c>
      <c r="AD987" s="33" t="str">
        <f t="shared" si="58"/>
        <v>Friday</v>
      </c>
    </row>
    <row r="988" spans="1:30" x14ac:dyDescent="0.2">
      <c r="A988" s="3">
        <v>41650</v>
      </c>
      <c r="B988" s="2" t="s">
        <v>38</v>
      </c>
      <c r="C988" t="s">
        <v>7</v>
      </c>
      <c r="D988" t="s">
        <v>208</v>
      </c>
      <c r="E988" s="2">
        <v>45894</v>
      </c>
      <c r="F988" s="2" cm="1">
        <f t="array" ref="F988">_xlfn.IFS(B988="Owner Surrender",E988,B988="Stray",E988+6,B988="Stray w/identification",E988+11,B988="Bite",E988+10,B988="Other",Blank)</f>
        <v>45900</v>
      </c>
      <c r="G988" s="2">
        <v>45902</v>
      </c>
      <c r="H988" s="5">
        <f t="shared" si="59"/>
        <v>8</v>
      </c>
      <c r="I988" s="5">
        <f t="shared" si="60"/>
        <v>2</v>
      </c>
      <c r="J988" s="2" t="s">
        <v>31</v>
      </c>
      <c r="K988" s="2" t="s">
        <v>587</v>
      </c>
      <c r="M988" t="s">
        <v>592</v>
      </c>
      <c r="AD988" s="33" t="str">
        <f t="shared" si="58"/>
        <v>Tuesday</v>
      </c>
    </row>
    <row r="989" spans="1:30" x14ac:dyDescent="0.2">
      <c r="A989" s="3">
        <v>41652</v>
      </c>
      <c r="B989" s="2" t="s">
        <v>36</v>
      </c>
      <c r="C989" t="s">
        <v>7</v>
      </c>
      <c r="D989" t="s">
        <v>208</v>
      </c>
      <c r="E989" s="2">
        <v>45894</v>
      </c>
      <c r="F989" s="2" cm="1">
        <f t="array" ref="F989">_xlfn.IFS(B989="Owner Surrender",E989,B989="Stray",E989+6,B989="Stray w/identification",E989+11,B989="Bite",E989+10,B989="Other",Blank)</f>
        <v>45894</v>
      </c>
      <c r="G989" s="2">
        <v>45896</v>
      </c>
      <c r="H989" s="5">
        <f t="shared" si="59"/>
        <v>2</v>
      </c>
      <c r="I989" s="5">
        <f t="shared" si="60"/>
        <v>2</v>
      </c>
      <c r="J989" s="2" t="s">
        <v>18</v>
      </c>
      <c r="K989" s="2" t="s">
        <v>586</v>
      </c>
      <c r="M989" t="s">
        <v>19</v>
      </c>
      <c r="AD989" s="33" t="str">
        <f t="shared" si="58"/>
        <v>Wednesday</v>
      </c>
    </row>
    <row r="990" spans="1:30" x14ac:dyDescent="0.2">
      <c r="A990" s="3">
        <v>41653</v>
      </c>
      <c r="B990" s="2" t="s">
        <v>38</v>
      </c>
      <c r="C990" t="s">
        <v>10</v>
      </c>
      <c r="D990" t="s">
        <v>207</v>
      </c>
      <c r="E990" s="2">
        <v>45894</v>
      </c>
      <c r="F990" s="2" cm="1">
        <f t="array" ref="F990">_xlfn.IFS(B990="Owner Surrender",E990,B990="Stray",E990+6,B990="Stray w/identification",E990+11,B990="Bite",E990+10,B990="Other",Blank)</f>
        <v>45900</v>
      </c>
      <c r="G990" s="2">
        <v>45905</v>
      </c>
      <c r="H990" s="5">
        <f t="shared" si="59"/>
        <v>11</v>
      </c>
      <c r="I990" s="5">
        <f t="shared" si="60"/>
        <v>5</v>
      </c>
      <c r="J990" s="2" t="s">
        <v>18</v>
      </c>
      <c r="K990" s="2" t="s">
        <v>586</v>
      </c>
      <c r="M990" t="s">
        <v>19</v>
      </c>
      <c r="AD990" s="33" t="str">
        <f t="shared" si="58"/>
        <v>Friday</v>
      </c>
    </row>
    <row r="991" spans="1:30" x14ac:dyDescent="0.2">
      <c r="A991" s="3">
        <v>41656</v>
      </c>
      <c r="B991" s="2" t="s">
        <v>38</v>
      </c>
      <c r="C991" t="s">
        <v>10</v>
      </c>
      <c r="D991" t="s">
        <v>209</v>
      </c>
      <c r="E991" s="2">
        <v>45894</v>
      </c>
      <c r="F991" s="2" cm="1">
        <f t="array" ref="F991">_xlfn.IFS(B991="Owner Surrender",E991,B991="Stray",E991+6,B991="Stray w/identification",E991+11,B991="Bite",E991+10,B991="Other",Blank)</f>
        <v>45900</v>
      </c>
      <c r="G991" s="2">
        <v>45902</v>
      </c>
      <c r="H991" s="5">
        <f t="shared" si="59"/>
        <v>8</v>
      </c>
      <c r="I991" s="5">
        <f t="shared" si="60"/>
        <v>2</v>
      </c>
      <c r="J991" s="2" t="s">
        <v>31</v>
      </c>
      <c r="K991" s="2" t="s">
        <v>587</v>
      </c>
      <c r="M991" t="s">
        <v>592</v>
      </c>
      <c r="AD991" s="33" t="str">
        <f t="shared" si="58"/>
        <v>Tuesday</v>
      </c>
    </row>
    <row r="992" spans="1:30" x14ac:dyDescent="0.2">
      <c r="A992" s="3">
        <v>41658</v>
      </c>
      <c r="B992" s="2" t="s">
        <v>36</v>
      </c>
      <c r="C992" t="s">
        <v>7</v>
      </c>
      <c r="D992" t="s">
        <v>207</v>
      </c>
      <c r="E992" s="2">
        <v>45895</v>
      </c>
      <c r="F992" s="2" cm="1">
        <f t="array" ref="F992">_xlfn.IFS(B992="Owner Surrender",E992,B992="Stray",E992+6,B992="Stray w/identification",E992+11,B992="Bite",E992+10,B992="Other",Blank)</f>
        <v>45895</v>
      </c>
      <c r="G992" s="2">
        <v>45904</v>
      </c>
      <c r="H992" s="5">
        <f t="shared" si="59"/>
        <v>9</v>
      </c>
      <c r="I992" s="5">
        <f t="shared" si="60"/>
        <v>9</v>
      </c>
      <c r="J992" s="2" t="s">
        <v>18</v>
      </c>
      <c r="K992" s="2" t="s">
        <v>586</v>
      </c>
      <c r="M992" t="s">
        <v>19</v>
      </c>
      <c r="AD992" s="33" t="str">
        <f t="shared" si="58"/>
        <v>Thursday</v>
      </c>
    </row>
    <row r="993" spans="1:30" x14ac:dyDescent="0.2">
      <c r="A993" s="3">
        <v>41660</v>
      </c>
      <c r="B993" s="2" t="s">
        <v>38</v>
      </c>
      <c r="C993" t="s">
        <v>7</v>
      </c>
      <c r="D993" t="s">
        <v>208</v>
      </c>
      <c r="E993" s="2">
        <v>45895</v>
      </c>
      <c r="F993" s="2" cm="1">
        <f t="array" ref="F993">_xlfn.IFS(B993="Owner Surrender",E993,B993="Stray",E993+6,B993="Stray w/identification",E993+11,B993="Bite",E993+10,B993="Other",Blank)</f>
        <v>45901</v>
      </c>
      <c r="G993" s="2">
        <v>45897</v>
      </c>
      <c r="H993" s="5">
        <f t="shared" si="59"/>
        <v>2</v>
      </c>
      <c r="I993" s="5">
        <f t="shared" si="60"/>
        <v>-4</v>
      </c>
      <c r="J993" s="2" t="s">
        <v>31</v>
      </c>
      <c r="K993" s="2" t="s">
        <v>588</v>
      </c>
      <c r="M993" t="s">
        <v>126</v>
      </c>
      <c r="AD993" s="33" t="str">
        <f t="shared" si="58"/>
        <v>Thursday</v>
      </c>
    </row>
    <row r="994" spans="1:30" x14ac:dyDescent="0.2">
      <c r="A994" s="3">
        <v>41661</v>
      </c>
      <c r="B994" s="2" t="s">
        <v>38</v>
      </c>
      <c r="C994" t="s">
        <v>7</v>
      </c>
      <c r="D994" t="s">
        <v>208</v>
      </c>
      <c r="E994" s="2">
        <v>45895</v>
      </c>
      <c r="F994" s="2" cm="1">
        <f t="array" ref="F994">_xlfn.IFS(B994="Owner Surrender",E994,B994="Stray",E994+6,B994="Stray w/identification",E994+11,B994="Bite",E994+10,B994="Other",Blank)</f>
        <v>45901</v>
      </c>
      <c r="G994" s="2">
        <v>45897</v>
      </c>
      <c r="H994" s="5">
        <f t="shared" si="59"/>
        <v>2</v>
      </c>
      <c r="I994" s="5">
        <f t="shared" si="60"/>
        <v>-4</v>
      </c>
      <c r="J994" s="2" t="s">
        <v>31</v>
      </c>
      <c r="K994" s="2" t="s">
        <v>588</v>
      </c>
      <c r="M994" t="s">
        <v>126</v>
      </c>
      <c r="AD994" s="33" t="str">
        <f t="shared" si="58"/>
        <v>Thursday</v>
      </c>
    </row>
    <row r="995" spans="1:30" x14ac:dyDescent="0.2">
      <c r="A995" s="3">
        <v>41662</v>
      </c>
      <c r="B995" s="2" t="s">
        <v>38</v>
      </c>
      <c r="C995" t="s">
        <v>7</v>
      </c>
      <c r="D995" t="s">
        <v>208</v>
      </c>
      <c r="E995" s="2">
        <v>45895</v>
      </c>
      <c r="F995" s="2" cm="1">
        <f t="array" ref="F995">_xlfn.IFS(B995="Owner Surrender",E995,B995="Stray",E995+6,B995="Stray w/identification",E995+11,B995="Bite",E995+10,B995="Other",Blank)</f>
        <v>45901</v>
      </c>
      <c r="G995" s="2">
        <v>45897</v>
      </c>
      <c r="H995" s="5">
        <f t="shared" si="59"/>
        <v>2</v>
      </c>
      <c r="I995" s="5">
        <f t="shared" si="60"/>
        <v>-4</v>
      </c>
      <c r="J995" s="2" t="s">
        <v>31</v>
      </c>
      <c r="K995" s="2" t="s">
        <v>588</v>
      </c>
      <c r="M995" t="s">
        <v>126</v>
      </c>
      <c r="AD995" s="33" t="str">
        <f t="shared" si="58"/>
        <v>Thursday</v>
      </c>
    </row>
    <row r="996" spans="1:30" x14ac:dyDescent="0.2">
      <c r="A996" s="3">
        <v>41664</v>
      </c>
      <c r="B996" s="2" t="s">
        <v>38</v>
      </c>
      <c r="C996" t="s">
        <v>7</v>
      </c>
      <c r="D996" t="s">
        <v>209</v>
      </c>
      <c r="E996" s="2">
        <v>45895</v>
      </c>
      <c r="F996" s="2" cm="1">
        <f t="array" ref="F996">_xlfn.IFS(B996="Owner Surrender",E996,B996="Stray",E996+6,B996="Stray w/identification",E996+11,B996="Bite",E996+10,B996="Other",Blank)</f>
        <v>45901</v>
      </c>
      <c r="G996" s="2">
        <v>45902</v>
      </c>
      <c r="H996" s="5">
        <f t="shared" si="59"/>
        <v>7</v>
      </c>
      <c r="I996" s="5">
        <f t="shared" si="60"/>
        <v>1</v>
      </c>
      <c r="J996" s="2" t="s">
        <v>31</v>
      </c>
      <c r="K996" s="2" t="s">
        <v>24</v>
      </c>
      <c r="M996" t="s">
        <v>592</v>
      </c>
      <c r="AD996" s="33" t="str">
        <f t="shared" si="58"/>
        <v>Tuesday</v>
      </c>
    </row>
    <row r="997" spans="1:30" x14ac:dyDescent="0.2">
      <c r="A997" s="3">
        <v>41666</v>
      </c>
      <c r="B997" s="2" t="s">
        <v>36</v>
      </c>
      <c r="C997" t="s">
        <v>7</v>
      </c>
      <c r="D997" t="s">
        <v>208</v>
      </c>
      <c r="E997" s="2">
        <v>45895</v>
      </c>
      <c r="F997" s="2" cm="1">
        <f t="array" ref="F997">_xlfn.IFS(B997="Owner Surrender",E997,B997="Stray",E997+6,B997="Stray w/identification",E997+11,B997="Bite",E997+10,B997="Other",Blank)</f>
        <v>45895</v>
      </c>
      <c r="G997" s="2">
        <v>45897</v>
      </c>
      <c r="H997" s="5">
        <f t="shared" si="59"/>
        <v>2</v>
      </c>
      <c r="I997" s="5">
        <f t="shared" si="60"/>
        <v>2</v>
      </c>
      <c r="J997" s="2" t="s">
        <v>31</v>
      </c>
      <c r="K997" s="2" t="s">
        <v>588</v>
      </c>
      <c r="M997" t="s">
        <v>33</v>
      </c>
      <c r="AD997" s="33" t="str">
        <f t="shared" si="58"/>
        <v>Thursday</v>
      </c>
    </row>
    <row r="998" spans="1:30" x14ac:dyDescent="0.2">
      <c r="A998" s="3">
        <v>41667</v>
      </c>
      <c r="B998" s="2" t="s">
        <v>36</v>
      </c>
      <c r="C998" t="s">
        <v>7</v>
      </c>
      <c r="D998" t="s">
        <v>208</v>
      </c>
      <c r="E998" s="2">
        <v>45895</v>
      </c>
      <c r="F998" s="2" cm="1">
        <f t="array" ref="F998">_xlfn.IFS(B998="Owner Surrender",E998,B998="Stray",E998+6,B998="Stray w/identification",E998+11,B998="Bite",E998+10,B998="Other",Blank)</f>
        <v>45895</v>
      </c>
      <c r="G998" s="2">
        <v>45897</v>
      </c>
      <c r="H998" s="5">
        <f t="shared" si="59"/>
        <v>2</v>
      </c>
      <c r="I998" s="5">
        <f t="shared" si="60"/>
        <v>2</v>
      </c>
      <c r="J998" s="2" t="s">
        <v>31</v>
      </c>
      <c r="K998" s="2" t="s">
        <v>588</v>
      </c>
      <c r="M998" t="s">
        <v>33</v>
      </c>
      <c r="AD998" s="33" t="str">
        <f t="shared" si="58"/>
        <v>Thursday</v>
      </c>
    </row>
    <row r="999" spans="1:30" x14ac:dyDescent="0.2">
      <c r="A999" s="3">
        <v>41668</v>
      </c>
      <c r="B999" s="2" t="s">
        <v>36</v>
      </c>
      <c r="C999" t="s">
        <v>7</v>
      </c>
      <c r="D999" t="s">
        <v>208</v>
      </c>
      <c r="E999" s="2">
        <v>45895</v>
      </c>
      <c r="F999" s="2" cm="1">
        <f t="array" ref="F999">_xlfn.IFS(B999="Owner Surrender",E999,B999="Stray",E999+6,B999="Stray w/identification",E999+11,B999="Bite",E999+10,B999="Other",Blank)</f>
        <v>45895</v>
      </c>
      <c r="G999" s="2">
        <v>45897</v>
      </c>
      <c r="H999" s="5">
        <f t="shared" si="59"/>
        <v>2</v>
      </c>
      <c r="I999" s="5">
        <f t="shared" si="60"/>
        <v>2</v>
      </c>
      <c r="J999" s="2" t="s">
        <v>28</v>
      </c>
      <c r="K999" s="2" t="s">
        <v>588</v>
      </c>
      <c r="AD999" s="33" t="str">
        <f t="shared" si="58"/>
        <v>Thursday</v>
      </c>
    </row>
    <row r="1000" spans="1:30" x14ac:dyDescent="0.2">
      <c r="A1000" s="3">
        <v>41669</v>
      </c>
      <c r="B1000" s="2" t="s">
        <v>38</v>
      </c>
      <c r="C1000" t="s">
        <v>7</v>
      </c>
      <c r="D1000" t="s">
        <v>208</v>
      </c>
      <c r="E1000" s="2">
        <v>45895</v>
      </c>
      <c r="F1000" s="2" cm="1">
        <f t="array" ref="F1000">_xlfn.IFS(B1000="Owner Surrender",E1000,B1000="Stray",E1000+6,B1000="Stray w/identification",E1000+11,B1000="Bite",E1000+10,B1000="Other",Blank)</f>
        <v>45901</v>
      </c>
      <c r="G1000" s="2">
        <v>45902</v>
      </c>
      <c r="H1000" s="5">
        <f t="shared" si="59"/>
        <v>7</v>
      </c>
      <c r="I1000" s="5">
        <f t="shared" si="60"/>
        <v>1</v>
      </c>
      <c r="J1000" s="2" t="s">
        <v>31</v>
      </c>
      <c r="K1000" s="2" t="s">
        <v>587</v>
      </c>
      <c r="M1000" t="s">
        <v>655</v>
      </c>
      <c r="AD1000" s="33" t="str">
        <f t="shared" si="58"/>
        <v>Tuesday</v>
      </c>
    </row>
    <row r="1001" spans="1:30" x14ac:dyDescent="0.2">
      <c r="A1001" s="3">
        <v>41675</v>
      </c>
      <c r="B1001" s="2" t="s">
        <v>36</v>
      </c>
      <c r="C1001" t="s">
        <v>7</v>
      </c>
      <c r="D1001" t="s">
        <v>207</v>
      </c>
      <c r="E1001" s="2">
        <v>45895</v>
      </c>
      <c r="F1001" s="2" cm="1">
        <f t="array" ref="F1001">_xlfn.IFS(B1001="Owner Surrender",E1001,B1001="Stray",E1001+6,B1001="Stray w/identification",E1001+11,B1001="Bite",E1001+10,B1001="Other",Blank)</f>
        <v>45895</v>
      </c>
      <c r="G1001" s="2">
        <v>45897</v>
      </c>
      <c r="H1001" s="5">
        <f t="shared" si="59"/>
        <v>2</v>
      </c>
      <c r="I1001" s="5">
        <f t="shared" si="60"/>
        <v>2</v>
      </c>
      <c r="J1001" s="2" t="s">
        <v>31</v>
      </c>
      <c r="K1001" s="2" t="s">
        <v>24</v>
      </c>
      <c r="AD1001" s="33" t="str">
        <f t="shared" si="58"/>
        <v>Thursday</v>
      </c>
    </row>
    <row r="1002" spans="1:30" x14ac:dyDescent="0.2">
      <c r="A1002" s="3">
        <v>41678</v>
      </c>
      <c r="B1002" s="2" t="s">
        <v>36</v>
      </c>
      <c r="C1002" t="s">
        <v>15</v>
      </c>
      <c r="D1002" t="s">
        <v>207</v>
      </c>
      <c r="E1002" s="2">
        <v>45896</v>
      </c>
      <c r="F1002" s="2" cm="1">
        <f t="array" ref="F1002">_xlfn.IFS(B1002="Owner Surrender",E1002,B1002="Stray",E1002+6,B1002="Stray w/identification",E1002+11,B1002="Bite",E1002+10,B1002="Other",Blank)</f>
        <v>45896</v>
      </c>
      <c r="G1002" s="2">
        <v>45896</v>
      </c>
      <c r="H1002" s="5">
        <f t="shared" si="59"/>
        <v>0</v>
      </c>
      <c r="I1002" s="5">
        <f t="shared" si="60"/>
        <v>0</v>
      </c>
      <c r="J1002" s="2" t="s">
        <v>18</v>
      </c>
      <c r="K1002" s="2" t="s">
        <v>586</v>
      </c>
      <c r="M1002" t="s">
        <v>606</v>
      </c>
      <c r="AD1002" s="33" t="str">
        <f t="shared" si="58"/>
        <v>Wednesday</v>
      </c>
    </row>
    <row r="1003" spans="1:30" x14ac:dyDescent="0.2">
      <c r="A1003" s="3">
        <v>41681</v>
      </c>
      <c r="B1003" s="2" t="s">
        <v>38</v>
      </c>
      <c r="C1003" t="s">
        <v>7</v>
      </c>
      <c r="D1003" t="s">
        <v>207</v>
      </c>
      <c r="E1003" s="2">
        <v>45897</v>
      </c>
      <c r="F1003" s="2" cm="1">
        <f t="array" ref="F1003">_xlfn.IFS(B1003="Owner Surrender",E1003,B1003="Stray",E1003+6,B1003="Stray w/identification",E1003+11,B1003="Bite",E1003+10,B1003="Other",Blank)</f>
        <v>45903</v>
      </c>
      <c r="G1003" s="2">
        <v>45904</v>
      </c>
      <c r="H1003" s="5">
        <f t="shared" si="59"/>
        <v>7</v>
      </c>
      <c r="I1003" s="5">
        <f t="shared" si="60"/>
        <v>1</v>
      </c>
      <c r="J1003" s="2" t="s">
        <v>31</v>
      </c>
      <c r="K1003" s="2" t="s">
        <v>588</v>
      </c>
      <c r="M1003" t="s">
        <v>123</v>
      </c>
      <c r="AD1003" s="33" t="str">
        <f t="shared" si="58"/>
        <v>Thursday</v>
      </c>
    </row>
    <row r="1004" spans="1:30" x14ac:dyDescent="0.2">
      <c r="A1004" s="3">
        <v>41693</v>
      </c>
      <c r="B1004" s="2" t="s">
        <v>38</v>
      </c>
      <c r="C1004" t="s">
        <v>10</v>
      </c>
      <c r="D1004" t="s">
        <v>207</v>
      </c>
      <c r="E1004" s="2">
        <v>45898</v>
      </c>
      <c r="F1004" s="2" cm="1">
        <f t="array" ref="F1004">_xlfn.IFS(B1004="Owner Surrender",E1004,B1004="Stray",E1004+6,B1004="Stray w/identification",E1004+11,B1004="Bite",E1004+10,B1004="Other",Blank)</f>
        <v>45904</v>
      </c>
      <c r="G1004" s="2">
        <v>45902</v>
      </c>
      <c r="H1004" s="5">
        <f t="shared" si="59"/>
        <v>4</v>
      </c>
      <c r="I1004" s="5">
        <f t="shared" si="60"/>
        <v>-2</v>
      </c>
      <c r="J1004" s="2" t="s">
        <v>8</v>
      </c>
      <c r="K1004" s="2" t="s">
        <v>586</v>
      </c>
      <c r="AD1004" s="33" t="str">
        <f t="shared" si="58"/>
        <v>Tuesday</v>
      </c>
    </row>
    <row r="1005" spans="1:30" x14ac:dyDescent="0.2">
      <c r="A1005" s="3">
        <v>41694</v>
      </c>
      <c r="B1005" s="2" t="s">
        <v>36</v>
      </c>
      <c r="C1005" t="s">
        <v>7</v>
      </c>
      <c r="D1005" t="s">
        <v>208</v>
      </c>
      <c r="E1005" s="2">
        <v>45898</v>
      </c>
      <c r="F1005" s="2" cm="1">
        <f t="array" ref="F1005">_xlfn.IFS(B1005="Owner Surrender",E1005,B1005="Stray",E1005+6,B1005="Stray w/identification",E1005+11,B1005="Bite",E1005+10,B1005="Other",Blank)</f>
        <v>45898</v>
      </c>
      <c r="G1005" s="2">
        <v>45902</v>
      </c>
      <c r="H1005" s="5">
        <f t="shared" si="59"/>
        <v>4</v>
      </c>
      <c r="I1005" s="5">
        <f t="shared" si="60"/>
        <v>4</v>
      </c>
      <c r="J1005" s="2" t="s">
        <v>31</v>
      </c>
      <c r="K1005" s="2" t="s">
        <v>587</v>
      </c>
      <c r="M1005" t="s">
        <v>654</v>
      </c>
      <c r="AD1005" s="33" t="str">
        <f t="shared" si="58"/>
        <v>Tuesday</v>
      </c>
    </row>
    <row r="1006" spans="1:30" x14ac:dyDescent="0.2">
      <c r="A1006" s="3">
        <v>41695</v>
      </c>
      <c r="B1006" s="2" t="s">
        <v>36</v>
      </c>
      <c r="C1006" t="s">
        <v>7</v>
      </c>
      <c r="D1006" t="s">
        <v>208</v>
      </c>
      <c r="E1006" s="2">
        <v>45898</v>
      </c>
      <c r="F1006" s="2" cm="1">
        <f t="array" ref="F1006">_xlfn.IFS(B1006="Owner Surrender",E1006,B1006="Stray",E1006+6,B1006="Stray w/identification",E1006+11,B1006="Bite",E1006+10,B1006="Other",Blank)</f>
        <v>45898</v>
      </c>
      <c r="G1006" s="2">
        <v>45902</v>
      </c>
      <c r="H1006" s="5">
        <f t="shared" si="59"/>
        <v>4</v>
      </c>
      <c r="I1006" s="5">
        <f t="shared" si="60"/>
        <v>4</v>
      </c>
      <c r="J1006" s="2" t="s">
        <v>31</v>
      </c>
      <c r="K1006" s="2" t="s">
        <v>587</v>
      </c>
      <c r="M1006" t="s">
        <v>654</v>
      </c>
      <c r="AD1006" s="33" t="str">
        <f t="shared" si="58"/>
        <v>Tuesday</v>
      </c>
    </row>
    <row r="1007" spans="1:30" x14ac:dyDescent="0.2">
      <c r="A1007" s="3">
        <v>41696</v>
      </c>
      <c r="B1007" s="2" t="s">
        <v>36</v>
      </c>
      <c r="C1007" t="s">
        <v>7</v>
      </c>
      <c r="D1007" t="s">
        <v>208</v>
      </c>
      <c r="E1007" s="2">
        <v>45898</v>
      </c>
      <c r="F1007" s="2" cm="1">
        <f t="array" ref="F1007">_xlfn.IFS(B1007="Owner Surrender",E1007,B1007="Stray",E1007+6,B1007="Stray w/identification",E1007+11,B1007="Bite",E1007+10,B1007="Other",Blank)</f>
        <v>45898</v>
      </c>
      <c r="G1007" s="2">
        <v>45902</v>
      </c>
      <c r="H1007" s="5">
        <f t="shared" si="59"/>
        <v>4</v>
      </c>
      <c r="I1007" s="5">
        <f t="shared" si="60"/>
        <v>4</v>
      </c>
      <c r="J1007" s="2" t="s">
        <v>31</v>
      </c>
      <c r="K1007" s="2" t="s">
        <v>587</v>
      </c>
      <c r="M1007" t="s">
        <v>654</v>
      </c>
      <c r="AD1007" s="33" t="str">
        <f t="shared" si="58"/>
        <v>Tuesday</v>
      </c>
    </row>
    <row r="1008" spans="1:30" x14ac:dyDescent="0.2">
      <c r="A1008" s="3">
        <v>41705</v>
      </c>
      <c r="B1008" s="2" t="s">
        <v>38</v>
      </c>
      <c r="C1008" t="s">
        <v>7</v>
      </c>
      <c r="D1008" t="s">
        <v>207</v>
      </c>
      <c r="E1008" s="2">
        <v>45898</v>
      </c>
      <c r="F1008" s="2" cm="1">
        <f t="array" ref="F1008">_xlfn.IFS(B1008="Owner Surrender",E1008,B1008="Stray",E1008+6,B1008="Stray w/identification",E1008+11,B1008="Bite",E1008+10,B1008="Other",Blank)</f>
        <v>45904</v>
      </c>
      <c r="G1008" s="2">
        <v>45912</v>
      </c>
      <c r="H1008" s="5">
        <f t="shared" si="59"/>
        <v>14</v>
      </c>
      <c r="I1008" s="5">
        <f t="shared" si="60"/>
        <v>8</v>
      </c>
      <c r="J1008" s="2" t="s">
        <v>31</v>
      </c>
      <c r="K1008" s="2" t="s">
        <v>587</v>
      </c>
      <c r="AD1008" s="33" t="str">
        <f t="shared" si="58"/>
        <v>Friday</v>
      </c>
    </row>
    <row r="1009" spans="1:30" x14ac:dyDescent="0.2">
      <c r="A1009" s="3">
        <v>41706</v>
      </c>
      <c r="B1009" s="2" t="s">
        <v>36</v>
      </c>
      <c r="C1009" t="s">
        <v>44</v>
      </c>
      <c r="D1009" t="s">
        <v>209</v>
      </c>
      <c r="E1009" s="2">
        <v>45899</v>
      </c>
      <c r="F1009" s="2" cm="1">
        <f t="array" ref="F1009">_xlfn.IFS(B1009="Owner Surrender",E1009,B1009="Stray",E1009+6,B1009="Stray w/identification",E1009+11,B1009="Bite",E1009+10,B1009="Other",Blank)</f>
        <v>45899</v>
      </c>
      <c r="G1009" s="2">
        <v>45905</v>
      </c>
      <c r="H1009" s="5">
        <f t="shared" si="59"/>
        <v>6</v>
      </c>
      <c r="I1009" s="5">
        <f t="shared" si="60"/>
        <v>6</v>
      </c>
      <c r="J1009" s="2" t="s">
        <v>18</v>
      </c>
      <c r="K1009" s="2" t="s">
        <v>586</v>
      </c>
      <c r="M1009" t="s">
        <v>19</v>
      </c>
      <c r="AD1009" s="33" t="str">
        <f t="shared" si="58"/>
        <v>Friday</v>
      </c>
    </row>
    <row r="1010" spans="1:30" x14ac:dyDescent="0.2">
      <c r="A1010" s="3">
        <v>41707</v>
      </c>
      <c r="B1010" s="2" t="s">
        <v>36</v>
      </c>
      <c r="C1010" t="s">
        <v>7</v>
      </c>
      <c r="D1010" t="s">
        <v>209</v>
      </c>
      <c r="E1010" s="2">
        <v>45899</v>
      </c>
      <c r="F1010" s="2" cm="1">
        <f t="array" ref="F1010">_xlfn.IFS(B1010="Owner Surrender",E1010,B1010="Stray",E1010+6,B1010="Stray w/identification",E1010+11,B1010="Bite",E1010+10,B1010="Other",Blank)</f>
        <v>45899</v>
      </c>
      <c r="G1010" s="2">
        <v>45905</v>
      </c>
      <c r="H1010" s="5">
        <f t="shared" si="59"/>
        <v>6</v>
      </c>
      <c r="I1010" s="5">
        <f t="shared" si="60"/>
        <v>6</v>
      </c>
      <c r="J1010" s="2" t="s">
        <v>18</v>
      </c>
      <c r="K1010" s="2" t="s">
        <v>586</v>
      </c>
      <c r="M1010" t="s">
        <v>19</v>
      </c>
      <c r="AD1010" s="33" t="str">
        <f t="shared" si="58"/>
        <v>Friday</v>
      </c>
    </row>
    <row r="1011" spans="1:30" x14ac:dyDescent="0.2">
      <c r="A1011" s="3">
        <v>41710</v>
      </c>
      <c r="B1011" s="2" t="s">
        <v>38</v>
      </c>
      <c r="C1011" t="s">
        <v>44</v>
      </c>
      <c r="D1011" t="s">
        <v>207</v>
      </c>
      <c r="E1011" s="2">
        <v>45900</v>
      </c>
      <c r="F1011" s="2" cm="1">
        <f t="array" ref="F1011">_xlfn.IFS(B1011="Owner Surrender",E1011,B1011="Stray",E1011+6,B1011="Stray w/identification",E1011+11,B1011="Bite",E1011+10,B1011="Other",Blank)</f>
        <v>45906</v>
      </c>
      <c r="G1011" s="2">
        <v>45912</v>
      </c>
      <c r="H1011" s="5">
        <f t="shared" si="59"/>
        <v>12</v>
      </c>
      <c r="I1011" s="5">
        <f t="shared" si="60"/>
        <v>6</v>
      </c>
      <c r="J1011" s="2" t="s">
        <v>18</v>
      </c>
      <c r="K1011" s="2" t="s">
        <v>586</v>
      </c>
      <c r="M1011" t="s">
        <v>19</v>
      </c>
      <c r="AD1011" s="33" t="str">
        <f t="shared" si="58"/>
        <v>Friday</v>
      </c>
    </row>
    <row r="1012" spans="1:30" x14ac:dyDescent="0.2">
      <c r="C1012" t="s">
        <v>7</v>
      </c>
      <c r="F1012" s="2" t="e" cm="1">
        <f t="array" ref="F1012">_xlfn.IFS(B1012="Owner Surrender",E1012,B1012="Stray",E1012+6,B1012="Stray w/identification",E1012+11,B1012="Bite",E1012+10,B1012="Other",Blank)</f>
        <v>#N/A</v>
      </c>
      <c r="H1012" s="5">
        <f t="shared" si="59"/>
        <v>0</v>
      </c>
      <c r="I1012" s="5" t="e">
        <f t="shared" si="60"/>
        <v>#N/A</v>
      </c>
      <c r="AD1012" s="33" t="str">
        <f t="shared" si="58"/>
        <v>Saturday</v>
      </c>
    </row>
    <row r="1013" spans="1:30" x14ac:dyDescent="0.2">
      <c r="C1013" t="s">
        <v>7</v>
      </c>
      <c r="F1013" s="2" t="e" cm="1">
        <f t="array" ref="F1013">_xlfn.IFS(B1013="Owner Surrender",E1013,B1013="Stray",E1013+6,B1013="Stray w/identification",E1013+11,B1013="Bite",E1013+10,B1013="Other",Blank)</f>
        <v>#N/A</v>
      </c>
      <c r="H1013" s="5">
        <f t="shared" si="59"/>
        <v>0</v>
      </c>
      <c r="I1013" s="5" t="e">
        <f t="shared" si="60"/>
        <v>#N/A</v>
      </c>
      <c r="AD1013" s="33" t="str">
        <f t="shared" si="58"/>
        <v>Saturday</v>
      </c>
    </row>
    <row r="1014" spans="1:30" x14ac:dyDescent="0.2">
      <c r="C1014" t="s">
        <v>7</v>
      </c>
      <c r="F1014" s="2" t="e" cm="1">
        <f t="array" ref="F1014">_xlfn.IFS(B1014="Owner Surrender",E1014,B1014="Stray",E1014+6,B1014="Stray w/identification",E1014+11,B1014="Bite",E1014+10,B1014="Other",Blank)</f>
        <v>#N/A</v>
      </c>
      <c r="H1014" s="5">
        <f t="shared" si="59"/>
        <v>0</v>
      </c>
      <c r="I1014" s="5" t="e">
        <f t="shared" si="60"/>
        <v>#N/A</v>
      </c>
      <c r="AD1014" s="33" t="str">
        <f t="shared" si="58"/>
        <v>Saturday</v>
      </c>
    </row>
    <row r="1015" spans="1:30" x14ac:dyDescent="0.2">
      <c r="C1015" t="s">
        <v>7</v>
      </c>
      <c r="F1015" s="2" t="e" cm="1">
        <f t="array" ref="F1015">_xlfn.IFS(B1015="Owner Surrender",E1015,B1015="Stray",E1015+6,B1015="Stray w/identification",E1015+11,B1015="Bite",E1015+10,B1015="Other",Blank)</f>
        <v>#N/A</v>
      </c>
      <c r="H1015" s="5">
        <f t="shared" si="59"/>
        <v>0</v>
      </c>
      <c r="I1015" s="5" t="e">
        <f t="shared" si="60"/>
        <v>#N/A</v>
      </c>
      <c r="AD1015" s="33" t="str">
        <f t="shared" si="58"/>
        <v>Saturday</v>
      </c>
    </row>
    <row r="1016" spans="1:30" x14ac:dyDescent="0.2">
      <c r="C1016" t="s">
        <v>7</v>
      </c>
      <c r="F1016" s="2" t="e" cm="1">
        <f t="array" ref="F1016">_xlfn.IFS(B1016="Owner Surrender",E1016,B1016="Stray",E1016+6,B1016="Stray w/identification",E1016+11,B1016="Bite",E1016+10,B1016="Other",Blank)</f>
        <v>#N/A</v>
      </c>
      <c r="H1016" s="5">
        <f t="shared" si="59"/>
        <v>0</v>
      </c>
      <c r="I1016" s="5" t="e">
        <f t="shared" si="60"/>
        <v>#N/A</v>
      </c>
      <c r="AD1016" s="33" t="str">
        <f t="shared" si="58"/>
        <v>Saturday</v>
      </c>
    </row>
    <row r="1017" spans="1:30" x14ac:dyDescent="0.2">
      <c r="C1017" t="s">
        <v>7</v>
      </c>
      <c r="F1017" s="2" t="e" cm="1">
        <f t="array" ref="F1017">_xlfn.IFS(B1017="Owner Surrender",E1017,B1017="Stray",E1017+6,B1017="Stray w/identification",E1017+11,B1017="Bite",E1017+10,B1017="Other",Blank)</f>
        <v>#N/A</v>
      </c>
      <c r="H1017" s="5">
        <f t="shared" si="59"/>
        <v>0</v>
      </c>
      <c r="I1017" s="5" t="e">
        <f t="shared" si="60"/>
        <v>#N/A</v>
      </c>
      <c r="AD1017" s="33" t="str">
        <f t="shared" si="58"/>
        <v>Saturday</v>
      </c>
    </row>
    <row r="1018" spans="1:30" x14ac:dyDescent="0.2">
      <c r="C1018" t="s">
        <v>7</v>
      </c>
      <c r="F1018" s="2" t="e" cm="1">
        <f t="array" ref="F1018">_xlfn.IFS(B1018="Owner Surrender",E1018,B1018="Stray",E1018+6,B1018="Stray w/identification",E1018+11,B1018="Bite",E1018+10,B1018="Other",Blank)</f>
        <v>#N/A</v>
      </c>
      <c r="H1018" s="5">
        <f t="shared" si="59"/>
        <v>0</v>
      </c>
      <c r="I1018" s="5" t="e">
        <f t="shared" si="60"/>
        <v>#N/A</v>
      </c>
      <c r="AD1018" s="33" t="str">
        <f t="shared" si="58"/>
        <v>Saturday</v>
      </c>
    </row>
    <row r="1019" spans="1:30" x14ac:dyDescent="0.2">
      <c r="C1019" t="s">
        <v>7</v>
      </c>
      <c r="F1019" s="2" t="e" cm="1">
        <f t="array" ref="F1019">_xlfn.IFS(B1019="Owner Surrender",E1019,B1019="Stray",E1019+6,B1019="Stray w/identification",E1019+11,B1019="Bite",E1019+10,B1019="Other",Blank)</f>
        <v>#N/A</v>
      </c>
      <c r="H1019" s="5">
        <f t="shared" si="59"/>
        <v>0</v>
      </c>
      <c r="I1019" s="5" t="e">
        <f t="shared" si="60"/>
        <v>#N/A</v>
      </c>
      <c r="AD1019" s="33" t="str">
        <f t="shared" si="58"/>
        <v>Saturday</v>
      </c>
    </row>
    <row r="1020" spans="1:30" x14ac:dyDescent="0.2">
      <c r="C1020" t="s">
        <v>7</v>
      </c>
      <c r="F1020" s="2" t="e" cm="1">
        <f t="array" ref="F1020">_xlfn.IFS(B1020="Owner Surrender",E1020,B1020="Stray",E1020+6,B1020="Stray w/identification",E1020+11,B1020="Bite",E1020+10,B1020="Other",Blank)</f>
        <v>#N/A</v>
      </c>
      <c r="H1020" s="5">
        <f t="shared" si="59"/>
        <v>0</v>
      </c>
      <c r="I1020" s="5" t="e">
        <f t="shared" si="60"/>
        <v>#N/A</v>
      </c>
      <c r="AD1020" s="33" t="str">
        <f t="shared" si="58"/>
        <v>Saturday</v>
      </c>
    </row>
    <row r="1021" spans="1:30" x14ac:dyDescent="0.2">
      <c r="C1021" t="s">
        <v>7</v>
      </c>
      <c r="F1021" s="2" t="e" cm="1">
        <f t="array" ref="F1021">_xlfn.IFS(B1021="Owner Surrender",E1021,B1021="Stray",E1021+6,B1021="Stray w/identification",E1021+11,B1021="Bite",E1021+10,B1021="Other",Blank)</f>
        <v>#N/A</v>
      </c>
      <c r="H1021" s="5">
        <f t="shared" si="59"/>
        <v>0</v>
      </c>
      <c r="I1021" s="5" t="e">
        <f t="shared" si="60"/>
        <v>#N/A</v>
      </c>
      <c r="AD1021" s="33" t="str">
        <f t="shared" si="58"/>
        <v>Saturday</v>
      </c>
    </row>
    <row r="1022" spans="1:30" x14ac:dyDescent="0.2">
      <c r="C1022" t="s">
        <v>7</v>
      </c>
      <c r="F1022" s="2" t="e" cm="1">
        <f t="array" ref="F1022">_xlfn.IFS(B1022="Owner Surrender",E1022,B1022="Stray",E1022+6,B1022="Stray w/identification",E1022+11,B1022="Bite",E1022+10,B1022="Other",Blank)</f>
        <v>#N/A</v>
      </c>
      <c r="H1022" s="5">
        <f t="shared" si="59"/>
        <v>0</v>
      </c>
      <c r="I1022" s="5" t="e">
        <f t="shared" si="60"/>
        <v>#N/A</v>
      </c>
      <c r="AD1022" s="33" t="str">
        <f t="shared" si="58"/>
        <v>Saturday</v>
      </c>
    </row>
    <row r="1023" spans="1:30" x14ac:dyDescent="0.2">
      <c r="C1023" t="s">
        <v>7</v>
      </c>
      <c r="F1023" s="2" t="e" cm="1">
        <f t="array" ref="F1023">_xlfn.IFS(B1023="Owner Surrender",E1023,B1023="Stray",E1023+6,B1023="Stray w/identification",E1023+11,B1023="Bite",E1023+10,B1023="Other",Blank)</f>
        <v>#N/A</v>
      </c>
      <c r="H1023" s="5">
        <f t="shared" si="59"/>
        <v>0</v>
      </c>
      <c r="I1023" s="5" t="e">
        <f t="shared" si="60"/>
        <v>#N/A</v>
      </c>
      <c r="AD1023" s="33" t="str">
        <f t="shared" si="58"/>
        <v>Saturday</v>
      </c>
    </row>
    <row r="1024" spans="1:30" x14ac:dyDescent="0.2">
      <c r="C1024" t="s">
        <v>7</v>
      </c>
      <c r="F1024" s="2" t="e" cm="1">
        <f t="array" ref="F1024">_xlfn.IFS(B1024="Owner Surrender",E1024,B1024="Stray",E1024+6,B1024="Stray w/identification",E1024+11,B1024="Bite",E1024+10,B1024="Other",Blank)</f>
        <v>#N/A</v>
      </c>
      <c r="H1024" s="5">
        <f t="shared" si="59"/>
        <v>0</v>
      </c>
      <c r="I1024" s="5" t="e">
        <f t="shared" si="60"/>
        <v>#N/A</v>
      </c>
      <c r="AD1024" s="33" t="str">
        <f t="shared" si="58"/>
        <v>Saturday</v>
      </c>
    </row>
    <row r="1025" spans="3:30" x14ac:dyDescent="0.2">
      <c r="C1025" t="s">
        <v>7</v>
      </c>
      <c r="F1025" s="2" t="e" cm="1">
        <f t="array" ref="F1025">_xlfn.IFS(B1025="Owner Surrender",E1025,B1025="Stray",E1025+6,B1025="Stray w/identification",E1025+11,B1025="Bite",E1025+10,B1025="Other",Blank)</f>
        <v>#N/A</v>
      </c>
      <c r="H1025" s="5">
        <f t="shared" si="59"/>
        <v>0</v>
      </c>
      <c r="I1025" s="5" t="e">
        <f t="shared" si="60"/>
        <v>#N/A</v>
      </c>
      <c r="AD1025" s="33" t="str">
        <f t="shared" si="58"/>
        <v>Saturday</v>
      </c>
    </row>
    <row r="1026" spans="3:30" x14ac:dyDescent="0.2">
      <c r="C1026" t="s">
        <v>7</v>
      </c>
      <c r="F1026" s="2" t="e" cm="1">
        <f t="array" ref="F1026">_xlfn.IFS(B1026="Owner Surrender",E1026,B1026="Stray",E1026+6,B1026="Stray w/identification",E1026+11,B1026="Bite",E1026+10,B1026="Other",Blank)</f>
        <v>#N/A</v>
      </c>
      <c r="H1026" s="5">
        <f t="shared" si="59"/>
        <v>0</v>
      </c>
      <c r="I1026" s="5" t="e">
        <f t="shared" si="60"/>
        <v>#N/A</v>
      </c>
      <c r="AD1026" s="33" t="str">
        <f t="shared" si="58"/>
        <v>Saturday</v>
      </c>
    </row>
    <row r="1027" spans="3:30" x14ac:dyDescent="0.2">
      <c r="C1027" t="s">
        <v>7</v>
      </c>
      <c r="F1027" s="2" t="e" cm="1">
        <f t="array" ref="F1027">_xlfn.IFS(B1027="Owner Surrender",E1027,B1027="Stray",E1027+6,B1027="Stray w/identification",E1027+11,B1027="Bite",E1027+10,B1027="Other",Blank)</f>
        <v>#N/A</v>
      </c>
      <c r="H1027" s="5">
        <f t="shared" si="59"/>
        <v>0</v>
      </c>
      <c r="I1027" s="5" t="e">
        <f t="shared" si="60"/>
        <v>#N/A</v>
      </c>
      <c r="AD1027" s="33" t="str">
        <f t="shared" si="58"/>
        <v>Saturday</v>
      </c>
    </row>
    <row r="1028" spans="3:30" x14ac:dyDescent="0.2">
      <c r="C1028" t="s">
        <v>7</v>
      </c>
      <c r="F1028" s="2" t="e" cm="1">
        <f t="array" ref="F1028">_xlfn.IFS(B1028="Owner Surrender",E1028,B1028="Stray",E1028+6,B1028="Stray w/identification",E1028+11,B1028="Bite",E1028+10,B1028="Other",Blank)</f>
        <v>#N/A</v>
      </c>
      <c r="H1028" s="5">
        <f t="shared" si="59"/>
        <v>0</v>
      </c>
      <c r="I1028" s="5" t="e">
        <f t="shared" si="60"/>
        <v>#N/A</v>
      </c>
      <c r="AD1028" s="33" t="str">
        <f t="shared" ref="AD1028:AD1091" si="61">TEXT(G1028,"DDDD")</f>
        <v>Saturday</v>
      </c>
    </row>
    <row r="1029" spans="3:30" x14ac:dyDescent="0.2">
      <c r="C1029" t="s">
        <v>7</v>
      </c>
      <c r="F1029" s="2" t="e" cm="1">
        <f t="array" ref="F1029">_xlfn.IFS(B1029="Owner Surrender",E1029,B1029="Stray",E1029+6,B1029="Stray w/identification",E1029+11,B1029="Bite",E1029+10,B1029="Other",Blank)</f>
        <v>#N/A</v>
      </c>
      <c r="H1029" s="5">
        <f t="shared" si="59"/>
        <v>0</v>
      </c>
      <c r="I1029" s="5" t="e">
        <f t="shared" si="60"/>
        <v>#N/A</v>
      </c>
      <c r="AD1029" s="33" t="str">
        <f t="shared" si="61"/>
        <v>Saturday</v>
      </c>
    </row>
    <row r="1030" spans="3:30" x14ac:dyDescent="0.2">
      <c r="C1030" t="s">
        <v>7</v>
      </c>
      <c r="F1030" s="2" t="e" cm="1">
        <f t="array" ref="F1030">_xlfn.IFS(B1030="Owner Surrender",E1030,B1030="Stray",E1030+6,B1030="Stray w/identification",E1030+11,B1030="Bite",E1030+10,B1030="Other",Blank)</f>
        <v>#N/A</v>
      </c>
      <c r="H1030" s="5">
        <f t="shared" si="59"/>
        <v>0</v>
      </c>
      <c r="I1030" s="5" t="e">
        <f t="shared" si="60"/>
        <v>#N/A</v>
      </c>
      <c r="AD1030" s="33" t="str">
        <f t="shared" si="61"/>
        <v>Saturday</v>
      </c>
    </row>
    <row r="1031" spans="3:30" x14ac:dyDescent="0.2">
      <c r="C1031" t="s">
        <v>7</v>
      </c>
      <c r="F1031" s="2" t="e" cm="1">
        <f t="array" ref="F1031">_xlfn.IFS(B1031="Owner Surrender",E1031,B1031="Stray",E1031+6,B1031="Stray w/identification",E1031+11,B1031="Bite",E1031+10,B1031="Other",Blank)</f>
        <v>#N/A</v>
      </c>
      <c r="H1031" s="5">
        <f t="shared" si="59"/>
        <v>0</v>
      </c>
      <c r="I1031" s="5" t="e">
        <f t="shared" si="60"/>
        <v>#N/A</v>
      </c>
      <c r="AD1031" s="33" t="str">
        <f t="shared" si="61"/>
        <v>Saturday</v>
      </c>
    </row>
    <row r="1032" spans="3:30" x14ac:dyDescent="0.2">
      <c r="C1032" t="s">
        <v>7</v>
      </c>
      <c r="F1032" s="2" t="e" cm="1">
        <f t="array" ref="F1032">_xlfn.IFS(B1032="Owner Surrender",E1032,B1032="Stray",E1032+6,B1032="Stray w/identification",E1032+11,B1032="Bite",E1032+10,B1032="Other",Blank)</f>
        <v>#N/A</v>
      </c>
      <c r="H1032" s="5">
        <f t="shared" si="59"/>
        <v>0</v>
      </c>
      <c r="I1032" s="5" t="e">
        <f t="shared" si="60"/>
        <v>#N/A</v>
      </c>
      <c r="AD1032" s="33" t="str">
        <f t="shared" si="61"/>
        <v>Saturday</v>
      </c>
    </row>
    <row r="1033" spans="3:30" x14ac:dyDescent="0.2">
      <c r="C1033" t="s">
        <v>7</v>
      </c>
      <c r="F1033" s="2" t="e" cm="1">
        <f t="array" ref="F1033">_xlfn.IFS(B1033="Owner Surrender",E1033,B1033="Stray",E1033+6,B1033="Stray w/identification",E1033+11,B1033="Bite",E1033+10,B1033="Other",Blank)</f>
        <v>#N/A</v>
      </c>
      <c r="H1033" s="5">
        <f t="shared" si="59"/>
        <v>0</v>
      </c>
      <c r="I1033" s="5" t="e">
        <f t="shared" si="60"/>
        <v>#N/A</v>
      </c>
      <c r="AD1033" s="33" t="str">
        <f t="shared" si="61"/>
        <v>Saturday</v>
      </c>
    </row>
    <row r="1034" spans="3:30" x14ac:dyDescent="0.2">
      <c r="C1034" t="s">
        <v>7</v>
      </c>
      <c r="F1034" s="2" t="e" cm="1">
        <f t="array" ref="F1034">_xlfn.IFS(B1034="Owner Surrender",E1034,B1034="Stray",E1034+6,B1034="Stray w/identification",E1034+11,B1034="Bite",E1034+10,B1034="Other",Blank)</f>
        <v>#N/A</v>
      </c>
      <c r="H1034" s="5">
        <f t="shared" si="59"/>
        <v>0</v>
      </c>
      <c r="I1034" s="5" t="e">
        <f t="shared" si="60"/>
        <v>#N/A</v>
      </c>
      <c r="AD1034" s="33" t="str">
        <f t="shared" si="61"/>
        <v>Saturday</v>
      </c>
    </row>
    <row r="1035" spans="3:30" x14ac:dyDescent="0.2">
      <c r="C1035" t="s">
        <v>7</v>
      </c>
      <c r="F1035" s="2" t="e" cm="1">
        <f t="array" ref="F1035">_xlfn.IFS(B1035="Owner Surrender",E1035,B1035="Stray",E1035+6,B1035="Stray w/identification",E1035+11,B1035="Bite",E1035+10,B1035="Other",Blank)</f>
        <v>#N/A</v>
      </c>
      <c r="H1035" s="5">
        <f t="shared" si="59"/>
        <v>0</v>
      </c>
      <c r="I1035" s="5" t="e">
        <f t="shared" si="60"/>
        <v>#N/A</v>
      </c>
      <c r="AD1035" s="33" t="str">
        <f t="shared" si="61"/>
        <v>Saturday</v>
      </c>
    </row>
    <row r="1036" spans="3:30" x14ac:dyDescent="0.2">
      <c r="C1036" t="s">
        <v>7</v>
      </c>
      <c r="F1036" s="2" t="e" cm="1">
        <f t="array" ref="F1036">_xlfn.IFS(B1036="Owner Surrender",E1036,B1036="Stray",E1036+6,B1036="Stray w/identification",E1036+11,B1036="Bite",E1036+10,B1036="Other",Blank)</f>
        <v>#N/A</v>
      </c>
      <c r="H1036" s="5">
        <f t="shared" si="59"/>
        <v>0</v>
      </c>
      <c r="I1036" s="5" t="e">
        <f t="shared" si="60"/>
        <v>#N/A</v>
      </c>
      <c r="AD1036" s="33" t="str">
        <f t="shared" si="61"/>
        <v>Saturday</v>
      </c>
    </row>
    <row r="1037" spans="3:30" x14ac:dyDescent="0.2">
      <c r="C1037" t="s">
        <v>7</v>
      </c>
      <c r="F1037" s="2" t="e" cm="1">
        <f t="array" ref="F1037">_xlfn.IFS(B1037="Owner Surrender",E1037,B1037="Stray",E1037+6,B1037="Stray w/identification",E1037+11,B1037="Bite",E1037+10,B1037="Other",Blank)</f>
        <v>#N/A</v>
      </c>
      <c r="H1037" s="5">
        <f t="shared" si="59"/>
        <v>0</v>
      </c>
      <c r="I1037" s="5" t="e">
        <f t="shared" si="60"/>
        <v>#N/A</v>
      </c>
      <c r="AD1037" s="33" t="str">
        <f t="shared" si="61"/>
        <v>Saturday</v>
      </c>
    </row>
    <row r="1038" spans="3:30" x14ac:dyDescent="0.2">
      <c r="C1038" t="s">
        <v>7</v>
      </c>
      <c r="F1038" s="2" t="e" cm="1">
        <f t="array" ref="F1038">_xlfn.IFS(B1038="Owner Surrender",E1038,B1038="Stray",E1038+6,B1038="Stray w/identification",E1038+11,B1038="Bite",E1038+10,B1038="Other",Blank)</f>
        <v>#N/A</v>
      </c>
      <c r="H1038" s="5">
        <f t="shared" si="59"/>
        <v>0</v>
      </c>
      <c r="I1038" s="5" t="e">
        <f t="shared" si="60"/>
        <v>#N/A</v>
      </c>
      <c r="AD1038" s="33" t="str">
        <f t="shared" si="61"/>
        <v>Saturday</v>
      </c>
    </row>
    <row r="1039" spans="3:30" x14ac:dyDescent="0.2">
      <c r="C1039" t="s">
        <v>7</v>
      </c>
      <c r="F1039" s="2" t="e" cm="1">
        <f t="array" ref="F1039">_xlfn.IFS(B1039="Owner Surrender",E1039,B1039="Stray",E1039+6,B1039="Stray w/identification",E1039+11,B1039="Bite",E1039+10,B1039="Other",Blank)</f>
        <v>#N/A</v>
      </c>
      <c r="H1039" s="5">
        <f t="shared" si="59"/>
        <v>0</v>
      </c>
      <c r="I1039" s="5" t="e">
        <f t="shared" si="60"/>
        <v>#N/A</v>
      </c>
      <c r="AD1039" s="33" t="str">
        <f t="shared" si="61"/>
        <v>Saturday</v>
      </c>
    </row>
    <row r="1040" spans="3:30" x14ac:dyDescent="0.2">
      <c r="C1040" t="s">
        <v>7</v>
      </c>
      <c r="F1040" s="2" t="e" cm="1">
        <f t="array" ref="F1040">_xlfn.IFS(B1040="Owner Surrender",E1040,B1040="Stray",E1040+6,B1040="Stray w/identification",E1040+11,B1040="Bite",E1040+10,B1040="Other",Blank)</f>
        <v>#N/A</v>
      </c>
      <c r="H1040" s="5">
        <f t="shared" si="59"/>
        <v>0</v>
      </c>
      <c r="I1040" s="5" t="e">
        <f t="shared" si="60"/>
        <v>#N/A</v>
      </c>
      <c r="AD1040" s="33" t="str">
        <f t="shared" si="61"/>
        <v>Saturday</v>
      </c>
    </row>
    <row r="1041" spans="3:30" x14ac:dyDescent="0.2">
      <c r="C1041" t="s">
        <v>7</v>
      </c>
      <c r="F1041" s="2" t="e" cm="1">
        <f t="array" ref="F1041">_xlfn.IFS(B1041="Owner Surrender",E1041,B1041="Stray",E1041+6,B1041="Stray w/identification",E1041+11,B1041="Bite",E1041+10,B1041="Other",Blank)</f>
        <v>#N/A</v>
      </c>
      <c r="H1041" s="5">
        <f t="shared" si="59"/>
        <v>0</v>
      </c>
      <c r="I1041" s="5" t="e">
        <f t="shared" si="60"/>
        <v>#N/A</v>
      </c>
      <c r="AD1041" s="33" t="str">
        <f t="shared" si="61"/>
        <v>Saturday</v>
      </c>
    </row>
    <row r="1042" spans="3:30" x14ac:dyDescent="0.2">
      <c r="C1042" t="s">
        <v>7</v>
      </c>
      <c r="F1042" s="2" t="e" cm="1">
        <f t="array" ref="F1042">_xlfn.IFS(B1042="Owner Surrender",E1042,B1042="Stray",E1042+6,B1042="Stray w/identification",E1042+11,B1042="Bite",E1042+10,B1042="Other",Blank)</f>
        <v>#N/A</v>
      </c>
      <c r="H1042" s="5">
        <f t="shared" si="59"/>
        <v>0</v>
      </c>
      <c r="I1042" s="5" t="e">
        <f t="shared" si="60"/>
        <v>#N/A</v>
      </c>
      <c r="AD1042" s="33" t="str">
        <f t="shared" si="61"/>
        <v>Saturday</v>
      </c>
    </row>
    <row r="1043" spans="3:30" x14ac:dyDescent="0.2">
      <c r="C1043" t="s">
        <v>7</v>
      </c>
      <c r="F1043" s="2" t="e" cm="1">
        <f t="array" ref="F1043">_xlfn.IFS(B1043="Owner Surrender",E1043,B1043="Stray",E1043+6,B1043="Stray w/identification",E1043+11,B1043="Bite",E1043+10,B1043="Other",Blank)</f>
        <v>#N/A</v>
      </c>
      <c r="H1043" s="5">
        <f t="shared" si="59"/>
        <v>0</v>
      </c>
      <c r="I1043" s="5" t="e">
        <f t="shared" si="60"/>
        <v>#N/A</v>
      </c>
      <c r="AD1043" s="33" t="str">
        <f t="shared" si="61"/>
        <v>Saturday</v>
      </c>
    </row>
    <row r="1044" spans="3:30" x14ac:dyDescent="0.2">
      <c r="C1044" t="s">
        <v>7</v>
      </c>
      <c r="F1044" s="2" t="e" cm="1">
        <f t="array" ref="F1044">_xlfn.IFS(B1044="Owner Surrender",E1044,B1044="Stray",E1044+6,B1044="Stray w/identification",E1044+11,B1044="Bite",E1044+10,B1044="Other",Blank)</f>
        <v>#N/A</v>
      </c>
      <c r="H1044" s="5">
        <f t="shared" si="59"/>
        <v>0</v>
      </c>
      <c r="I1044" s="5" t="e">
        <f t="shared" si="60"/>
        <v>#N/A</v>
      </c>
      <c r="AD1044" s="33" t="str">
        <f t="shared" si="61"/>
        <v>Saturday</v>
      </c>
    </row>
    <row r="1045" spans="3:30" x14ac:dyDescent="0.2">
      <c r="C1045" t="s">
        <v>7</v>
      </c>
      <c r="F1045" s="2" t="e" cm="1">
        <f t="array" ref="F1045">_xlfn.IFS(B1045="Owner Surrender",E1045,B1045="Stray",E1045+6,B1045="Stray w/identification",E1045+11,B1045="Bite",E1045+10,B1045="Other",Blank)</f>
        <v>#N/A</v>
      </c>
      <c r="H1045" s="5">
        <f t="shared" si="59"/>
        <v>0</v>
      </c>
      <c r="I1045" s="5" t="e">
        <f t="shared" si="60"/>
        <v>#N/A</v>
      </c>
      <c r="AD1045" s="33" t="str">
        <f t="shared" si="61"/>
        <v>Saturday</v>
      </c>
    </row>
    <row r="1046" spans="3:30" x14ac:dyDescent="0.2">
      <c r="C1046" t="s">
        <v>7</v>
      </c>
      <c r="F1046" s="2" t="e" cm="1">
        <f t="array" ref="F1046">_xlfn.IFS(B1046="Owner Surrender",E1046,B1046="Stray",E1046+6,B1046="Stray w/identification",E1046+11,B1046="Bite",E1046+10,B1046="Other",Blank)</f>
        <v>#N/A</v>
      </c>
      <c r="H1046" s="5">
        <f t="shared" si="59"/>
        <v>0</v>
      </c>
      <c r="I1046" s="5" t="e">
        <f t="shared" si="60"/>
        <v>#N/A</v>
      </c>
      <c r="AD1046" s="33" t="str">
        <f t="shared" si="61"/>
        <v>Saturday</v>
      </c>
    </row>
    <row r="1047" spans="3:30" x14ac:dyDescent="0.2">
      <c r="C1047" t="s">
        <v>7</v>
      </c>
      <c r="F1047" s="2" t="e" cm="1">
        <f t="array" ref="F1047">_xlfn.IFS(B1047="Owner Surrender",E1047,B1047="Stray",E1047+6,B1047="Stray w/identification",E1047+11,B1047="Bite",E1047+10,B1047="Other",Blank)</f>
        <v>#N/A</v>
      </c>
      <c r="H1047" s="5">
        <f t="shared" si="59"/>
        <v>0</v>
      </c>
      <c r="I1047" s="5" t="e">
        <f t="shared" si="60"/>
        <v>#N/A</v>
      </c>
      <c r="AD1047" s="33" t="str">
        <f t="shared" si="61"/>
        <v>Saturday</v>
      </c>
    </row>
    <row r="1048" spans="3:30" x14ac:dyDescent="0.2">
      <c r="C1048" t="s">
        <v>7</v>
      </c>
      <c r="F1048" s="2" t="e" cm="1">
        <f t="array" ref="F1048">_xlfn.IFS(B1048="Owner Surrender",E1048,B1048="Stray",E1048+6,B1048="Stray w/identification",E1048+11,B1048="Bite",E1048+10,B1048="Other",Blank)</f>
        <v>#N/A</v>
      </c>
      <c r="H1048" s="5">
        <f t="shared" si="59"/>
        <v>0</v>
      </c>
      <c r="I1048" s="5" t="e">
        <f t="shared" si="60"/>
        <v>#N/A</v>
      </c>
      <c r="AD1048" s="33" t="str">
        <f t="shared" si="61"/>
        <v>Saturday</v>
      </c>
    </row>
    <row r="1049" spans="3:30" x14ac:dyDescent="0.2">
      <c r="C1049" t="s">
        <v>7</v>
      </c>
      <c r="F1049" s="2" t="e" cm="1">
        <f t="array" ref="F1049">_xlfn.IFS(B1049="Owner Surrender",E1049,B1049="Stray",E1049+6,B1049="Stray w/identification",E1049+11,B1049="Bite",E1049+10,B1049="Other",Blank)</f>
        <v>#N/A</v>
      </c>
      <c r="H1049" s="5">
        <f t="shared" si="59"/>
        <v>0</v>
      </c>
      <c r="I1049" s="5" t="e">
        <f t="shared" si="60"/>
        <v>#N/A</v>
      </c>
      <c r="AD1049" s="33" t="str">
        <f t="shared" si="61"/>
        <v>Saturday</v>
      </c>
    </row>
    <row r="1050" spans="3:30" x14ac:dyDescent="0.2">
      <c r="C1050" t="s">
        <v>7</v>
      </c>
      <c r="F1050" s="2" t="e" cm="1">
        <f t="array" ref="F1050">_xlfn.IFS(B1050="Owner Surrender",E1050,B1050="Stray",E1050+6,B1050="Stray w/identification",E1050+11,B1050="Bite",E1050+10,B1050="Other",Blank)</f>
        <v>#N/A</v>
      </c>
      <c r="H1050" s="5">
        <f t="shared" ref="H1050:H1113" si="62">+G1050-E1050</f>
        <v>0</v>
      </c>
      <c r="I1050" s="5" t="e">
        <f t="shared" ref="I1050:I1113" si="63">G1050-F1050</f>
        <v>#N/A</v>
      </c>
      <c r="AD1050" s="33" t="str">
        <f t="shared" si="61"/>
        <v>Saturday</v>
      </c>
    </row>
    <row r="1051" spans="3:30" x14ac:dyDescent="0.2">
      <c r="C1051" t="s">
        <v>7</v>
      </c>
      <c r="F1051" s="2" t="e" cm="1">
        <f t="array" ref="F1051">_xlfn.IFS(B1051="Owner Surrender",E1051,B1051="Stray",E1051+6,B1051="Stray w/identification",E1051+11,B1051="Bite",E1051+10,B1051="Other",Blank)</f>
        <v>#N/A</v>
      </c>
      <c r="H1051" s="5">
        <f t="shared" si="62"/>
        <v>0</v>
      </c>
      <c r="I1051" s="5" t="e">
        <f t="shared" si="63"/>
        <v>#N/A</v>
      </c>
      <c r="AD1051" s="33" t="str">
        <f t="shared" si="61"/>
        <v>Saturday</v>
      </c>
    </row>
    <row r="1052" spans="3:30" x14ac:dyDescent="0.2">
      <c r="C1052" t="s">
        <v>7</v>
      </c>
      <c r="F1052" s="2" t="e" cm="1">
        <f t="array" ref="F1052">_xlfn.IFS(B1052="Owner Surrender",E1052,B1052="Stray",E1052+6,B1052="Stray w/identification",E1052+11,B1052="Bite",E1052+10,B1052="Other",Blank)</f>
        <v>#N/A</v>
      </c>
      <c r="H1052" s="5">
        <f t="shared" si="62"/>
        <v>0</v>
      </c>
      <c r="I1052" s="5" t="e">
        <f t="shared" si="63"/>
        <v>#N/A</v>
      </c>
      <c r="AD1052" s="33" t="str">
        <f t="shared" si="61"/>
        <v>Saturday</v>
      </c>
    </row>
    <row r="1053" spans="3:30" x14ac:dyDescent="0.2">
      <c r="C1053" t="s">
        <v>7</v>
      </c>
      <c r="F1053" s="2" t="e" cm="1">
        <f t="array" ref="F1053">_xlfn.IFS(B1053="Owner Surrender",E1053,B1053="Stray",E1053+6,B1053="Stray w/identification",E1053+11,B1053="Bite",E1053+10,B1053="Other",Blank)</f>
        <v>#N/A</v>
      </c>
      <c r="H1053" s="5">
        <f t="shared" si="62"/>
        <v>0</v>
      </c>
      <c r="I1053" s="5" t="e">
        <f t="shared" si="63"/>
        <v>#N/A</v>
      </c>
      <c r="AD1053" s="33" t="str">
        <f t="shared" si="61"/>
        <v>Saturday</v>
      </c>
    </row>
    <row r="1054" spans="3:30" x14ac:dyDescent="0.2">
      <c r="C1054" t="s">
        <v>7</v>
      </c>
      <c r="F1054" s="2" t="e" cm="1">
        <f t="array" ref="F1054">_xlfn.IFS(B1054="Owner Surrender",E1054,B1054="Stray",E1054+6,B1054="Stray w/identification",E1054+11,B1054="Bite",E1054+10,B1054="Other",Blank)</f>
        <v>#N/A</v>
      </c>
      <c r="H1054" s="5">
        <f t="shared" si="62"/>
        <v>0</v>
      </c>
      <c r="I1054" s="5" t="e">
        <f t="shared" si="63"/>
        <v>#N/A</v>
      </c>
      <c r="AD1054" s="33" t="str">
        <f t="shared" si="61"/>
        <v>Saturday</v>
      </c>
    </row>
    <row r="1055" spans="3:30" x14ac:dyDescent="0.2">
      <c r="C1055" t="s">
        <v>7</v>
      </c>
      <c r="F1055" s="2" t="e" cm="1">
        <f t="array" ref="F1055">_xlfn.IFS(B1055="Owner Surrender",E1055,B1055="Stray",E1055+6,B1055="Stray w/identification",E1055+11,B1055="Bite",E1055+10,B1055="Other",Blank)</f>
        <v>#N/A</v>
      </c>
      <c r="H1055" s="5">
        <f t="shared" si="62"/>
        <v>0</v>
      </c>
      <c r="I1055" s="5" t="e">
        <f t="shared" si="63"/>
        <v>#N/A</v>
      </c>
      <c r="AD1055" s="33" t="str">
        <f t="shared" si="61"/>
        <v>Saturday</v>
      </c>
    </row>
    <row r="1056" spans="3:30" x14ac:dyDescent="0.2">
      <c r="C1056" t="s">
        <v>7</v>
      </c>
      <c r="F1056" s="2" t="e" cm="1">
        <f t="array" ref="F1056">_xlfn.IFS(B1056="Owner Surrender",E1056,B1056="Stray",E1056+6,B1056="Stray w/identification",E1056+11,B1056="Bite",E1056+10,B1056="Other",Blank)</f>
        <v>#N/A</v>
      </c>
      <c r="H1056" s="5">
        <f t="shared" si="62"/>
        <v>0</v>
      </c>
      <c r="I1056" s="5" t="e">
        <f t="shared" si="63"/>
        <v>#N/A</v>
      </c>
      <c r="AD1056" s="33" t="str">
        <f t="shared" si="61"/>
        <v>Saturday</v>
      </c>
    </row>
    <row r="1057" spans="3:30" x14ac:dyDescent="0.2">
      <c r="C1057" t="s">
        <v>7</v>
      </c>
      <c r="F1057" s="2" t="e" cm="1">
        <f t="array" ref="F1057">_xlfn.IFS(B1057="Owner Surrender",E1057,B1057="Stray",E1057+6,B1057="Stray w/identification",E1057+11,B1057="Bite",E1057+10,B1057="Other",Blank)</f>
        <v>#N/A</v>
      </c>
      <c r="H1057" s="5">
        <f t="shared" si="62"/>
        <v>0</v>
      </c>
      <c r="I1057" s="5" t="e">
        <f t="shared" si="63"/>
        <v>#N/A</v>
      </c>
      <c r="AD1057" s="33" t="str">
        <f t="shared" si="61"/>
        <v>Saturday</v>
      </c>
    </row>
    <row r="1058" spans="3:30" x14ac:dyDescent="0.2">
      <c r="C1058" t="s">
        <v>7</v>
      </c>
      <c r="F1058" s="2" t="e" cm="1">
        <f t="array" ref="F1058">_xlfn.IFS(B1058="Owner Surrender",E1058,B1058="Stray",E1058+6,B1058="Stray w/identification",E1058+11,B1058="Bite",E1058+10,B1058="Other",Blank)</f>
        <v>#N/A</v>
      </c>
      <c r="H1058" s="5">
        <f t="shared" si="62"/>
        <v>0</v>
      </c>
      <c r="I1058" s="5" t="e">
        <f t="shared" si="63"/>
        <v>#N/A</v>
      </c>
      <c r="AD1058" s="33" t="str">
        <f t="shared" si="61"/>
        <v>Saturday</v>
      </c>
    </row>
    <row r="1059" spans="3:30" x14ac:dyDescent="0.2">
      <c r="C1059" t="s">
        <v>7</v>
      </c>
      <c r="F1059" s="2" t="e" cm="1">
        <f t="array" ref="F1059">_xlfn.IFS(B1059="Owner Surrender",E1059,B1059="Stray",E1059+6,B1059="Stray w/identification",E1059+11,B1059="Bite",E1059+10,B1059="Other",Blank)</f>
        <v>#N/A</v>
      </c>
      <c r="H1059" s="5">
        <f t="shared" si="62"/>
        <v>0</v>
      </c>
      <c r="I1059" s="5" t="e">
        <f t="shared" si="63"/>
        <v>#N/A</v>
      </c>
      <c r="AD1059" s="33" t="str">
        <f t="shared" si="61"/>
        <v>Saturday</v>
      </c>
    </row>
    <row r="1060" spans="3:30" x14ac:dyDescent="0.2">
      <c r="C1060" t="s">
        <v>7</v>
      </c>
      <c r="F1060" s="2" t="e" cm="1">
        <f t="array" ref="F1060">_xlfn.IFS(B1060="Owner Surrender",E1060,B1060="Stray",E1060+6,B1060="Stray w/identification",E1060+11,B1060="Bite",E1060+10,B1060="Other",Blank)</f>
        <v>#N/A</v>
      </c>
      <c r="H1060" s="5">
        <f t="shared" si="62"/>
        <v>0</v>
      </c>
      <c r="I1060" s="5" t="e">
        <f t="shared" si="63"/>
        <v>#N/A</v>
      </c>
      <c r="AD1060" s="33" t="str">
        <f t="shared" si="61"/>
        <v>Saturday</v>
      </c>
    </row>
    <row r="1061" spans="3:30" x14ac:dyDescent="0.2">
      <c r="C1061" t="s">
        <v>7</v>
      </c>
      <c r="F1061" s="2" t="e" cm="1">
        <f t="array" ref="F1061">_xlfn.IFS(B1061="Owner Surrender",E1061,B1061="Stray",E1061+6,B1061="Stray w/identification",E1061+11,B1061="Bite",E1061+10,B1061="Other",Blank)</f>
        <v>#N/A</v>
      </c>
      <c r="H1061" s="5">
        <f t="shared" si="62"/>
        <v>0</v>
      </c>
      <c r="I1061" s="5" t="e">
        <f t="shared" si="63"/>
        <v>#N/A</v>
      </c>
      <c r="AD1061" s="33" t="str">
        <f t="shared" si="61"/>
        <v>Saturday</v>
      </c>
    </row>
    <row r="1062" spans="3:30" x14ac:dyDescent="0.2">
      <c r="C1062" t="s">
        <v>7</v>
      </c>
      <c r="F1062" s="2" t="e" cm="1">
        <f t="array" ref="F1062">_xlfn.IFS(B1062="Owner Surrender",E1062,B1062="Stray",E1062+6,B1062="Stray w/identification",E1062+11,B1062="Bite",E1062+10,B1062="Other",Blank)</f>
        <v>#N/A</v>
      </c>
      <c r="H1062" s="5">
        <f t="shared" si="62"/>
        <v>0</v>
      </c>
      <c r="I1062" s="5" t="e">
        <f t="shared" si="63"/>
        <v>#N/A</v>
      </c>
      <c r="AD1062" s="33" t="str">
        <f t="shared" si="61"/>
        <v>Saturday</v>
      </c>
    </row>
    <row r="1063" spans="3:30" x14ac:dyDescent="0.2">
      <c r="C1063" t="s">
        <v>7</v>
      </c>
      <c r="F1063" s="2" t="e" cm="1">
        <f t="array" ref="F1063">_xlfn.IFS(B1063="Owner Surrender",E1063,B1063="Stray",E1063+6,B1063="Stray w/identification",E1063+11,B1063="Bite",E1063+10,B1063="Other",Blank)</f>
        <v>#N/A</v>
      </c>
      <c r="H1063" s="5">
        <f t="shared" si="62"/>
        <v>0</v>
      </c>
      <c r="I1063" s="5" t="e">
        <f t="shared" si="63"/>
        <v>#N/A</v>
      </c>
      <c r="AD1063" s="33" t="str">
        <f t="shared" si="61"/>
        <v>Saturday</v>
      </c>
    </row>
    <row r="1064" spans="3:30" x14ac:dyDescent="0.2">
      <c r="C1064" t="s">
        <v>7</v>
      </c>
      <c r="F1064" s="2" t="e" cm="1">
        <f t="array" ref="F1064">_xlfn.IFS(B1064="Owner Surrender",E1064,B1064="Stray",E1064+6,B1064="Stray w/identification",E1064+11,B1064="Bite",E1064+10,B1064="Other",Blank)</f>
        <v>#N/A</v>
      </c>
      <c r="H1064" s="5">
        <f t="shared" si="62"/>
        <v>0</v>
      </c>
      <c r="I1064" s="5" t="e">
        <f t="shared" si="63"/>
        <v>#N/A</v>
      </c>
      <c r="AD1064" s="33" t="str">
        <f t="shared" si="61"/>
        <v>Saturday</v>
      </c>
    </row>
    <row r="1065" spans="3:30" x14ac:dyDescent="0.2">
      <c r="C1065" t="s">
        <v>7</v>
      </c>
      <c r="F1065" s="2" t="e" cm="1">
        <f t="array" ref="F1065">_xlfn.IFS(B1065="Owner Surrender",E1065,B1065="Stray",E1065+6,B1065="Stray w/identification",E1065+11,B1065="Bite",E1065+10,B1065="Other",Blank)</f>
        <v>#N/A</v>
      </c>
      <c r="H1065" s="5">
        <f t="shared" si="62"/>
        <v>0</v>
      </c>
      <c r="I1065" s="5" t="e">
        <f t="shared" si="63"/>
        <v>#N/A</v>
      </c>
      <c r="AD1065" s="33" t="str">
        <f t="shared" si="61"/>
        <v>Saturday</v>
      </c>
    </row>
    <row r="1066" spans="3:30" x14ac:dyDescent="0.2">
      <c r="C1066" t="s">
        <v>7</v>
      </c>
      <c r="F1066" s="2" t="e" cm="1">
        <f t="array" ref="F1066">_xlfn.IFS(B1066="Owner Surrender",E1066,B1066="Stray",E1066+6,B1066="Stray w/identification",E1066+11,B1066="Bite",E1066+10,B1066="Other",Blank)</f>
        <v>#N/A</v>
      </c>
      <c r="H1066" s="5">
        <f t="shared" si="62"/>
        <v>0</v>
      </c>
      <c r="I1066" s="5" t="e">
        <f t="shared" si="63"/>
        <v>#N/A</v>
      </c>
      <c r="AD1066" s="33" t="str">
        <f t="shared" si="61"/>
        <v>Saturday</v>
      </c>
    </row>
    <row r="1067" spans="3:30" x14ac:dyDescent="0.2">
      <c r="C1067" t="s">
        <v>7</v>
      </c>
      <c r="F1067" s="2" t="e" cm="1">
        <f t="array" ref="F1067">_xlfn.IFS(B1067="Owner Surrender",E1067,B1067="Stray",E1067+6,B1067="Stray w/identification",E1067+11,B1067="Bite",E1067+10,B1067="Other",Blank)</f>
        <v>#N/A</v>
      </c>
      <c r="H1067" s="5">
        <f t="shared" si="62"/>
        <v>0</v>
      </c>
      <c r="I1067" s="5" t="e">
        <f t="shared" si="63"/>
        <v>#N/A</v>
      </c>
      <c r="AD1067" s="33" t="str">
        <f t="shared" si="61"/>
        <v>Saturday</v>
      </c>
    </row>
    <row r="1068" spans="3:30" x14ac:dyDescent="0.2">
      <c r="C1068" t="s">
        <v>7</v>
      </c>
      <c r="F1068" s="2" t="e" cm="1">
        <f t="array" ref="F1068">_xlfn.IFS(B1068="Owner Surrender",E1068,B1068="Stray",E1068+6,B1068="Stray w/identification",E1068+11,B1068="Bite",E1068+10,B1068="Other",Blank)</f>
        <v>#N/A</v>
      </c>
      <c r="H1068" s="5">
        <f t="shared" si="62"/>
        <v>0</v>
      </c>
      <c r="I1068" s="5" t="e">
        <f t="shared" si="63"/>
        <v>#N/A</v>
      </c>
      <c r="AD1068" s="33" t="str">
        <f t="shared" si="61"/>
        <v>Saturday</v>
      </c>
    </row>
    <row r="1069" spans="3:30" x14ac:dyDescent="0.2">
      <c r="C1069" t="s">
        <v>7</v>
      </c>
      <c r="F1069" s="2" t="e" cm="1">
        <f t="array" ref="F1069">_xlfn.IFS(B1069="Owner Surrender",E1069,B1069="Stray",E1069+6,B1069="Stray w/identification",E1069+11,B1069="Bite",E1069+10,B1069="Other",Blank)</f>
        <v>#N/A</v>
      </c>
      <c r="H1069" s="5">
        <f t="shared" si="62"/>
        <v>0</v>
      </c>
      <c r="I1069" s="5" t="e">
        <f t="shared" si="63"/>
        <v>#N/A</v>
      </c>
      <c r="AD1069" s="33" t="str">
        <f t="shared" si="61"/>
        <v>Saturday</v>
      </c>
    </row>
    <row r="1070" spans="3:30" x14ac:dyDescent="0.2">
      <c r="C1070" t="s">
        <v>7</v>
      </c>
      <c r="F1070" s="2" t="e" cm="1">
        <f t="array" ref="F1070">_xlfn.IFS(B1070="Owner Surrender",E1070,B1070="Stray",E1070+6,B1070="Stray w/identification",E1070+11,B1070="Bite",E1070+10,B1070="Other",Blank)</f>
        <v>#N/A</v>
      </c>
      <c r="H1070" s="5">
        <f t="shared" si="62"/>
        <v>0</v>
      </c>
      <c r="I1070" s="5" t="e">
        <f t="shared" si="63"/>
        <v>#N/A</v>
      </c>
      <c r="AD1070" s="33" t="str">
        <f t="shared" si="61"/>
        <v>Saturday</v>
      </c>
    </row>
    <row r="1071" spans="3:30" x14ac:dyDescent="0.2">
      <c r="C1071" t="s">
        <v>7</v>
      </c>
      <c r="F1071" s="2" t="e" cm="1">
        <f t="array" ref="F1071">_xlfn.IFS(B1071="Owner Surrender",E1071,B1071="Stray",E1071+6,B1071="Stray w/identification",E1071+11,B1071="Bite",E1071+10,B1071="Other",Blank)</f>
        <v>#N/A</v>
      </c>
      <c r="H1071" s="5">
        <f t="shared" si="62"/>
        <v>0</v>
      </c>
      <c r="I1071" s="5" t="e">
        <f t="shared" si="63"/>
        <v>#N/A</v>
      </c>
      <c r="AD1071" s="33" t="str">
        <f t="shared" si="61"/>
        <v>Saturday</v>
      </c>
    </row>
    <row r="1072" spans="3:30" x14ac:dyDescent="0.2">
      <c r="C1072" t="s">
        <v>7</v>
      </c>
      <c r="F1072" s="2" t="e" cm="1">
        <f t="array" ref="F1072">_xlfn.IFS(B1072="Owner Surrender",E1072,B1072="Stray",E1072+6,B1072="Stray w/identification",E1072+11,B1072="Bite",E1072+10,B1072="Other",Blank)</f>
        <v>#N/A</v>
      </c>
      <c r="H1072" s="5">
        <f t="shared" si="62"/>
        <v>0</v>
      </c>
      <c r="I1072" s="5" t="e">
        <f t="shared" si="63"/>
        <v>#N/A</v>
      </c>
      <c r="AD1072" s="33" t="str">
        <f t="shared" si="61"/>
        <v>Saturday</v>
      </c>
    </row>
    <row r="1073" spans="3:30" x14ac:dyDescent="0.2">
      <c r="C1073" t="s">
        <v>7</v>
      </c>
      <c r="F1073" s="2" t="e" cm="1">
        <f t="array" ref="F1073">_xlfn.IFS(B1073="Owner Surrender",E1073,B1073="Stray",E1073+6,B1073="Stray w/identification",E1073+11,B1073="Bite",E1073+10,B1073="Other",Blank)</f>
        <v>#N/A</v>
      </c>
      <c r="H1073" s="5">
        <f t="shared" si="62"/>
        <v>0</v>
      </c>
      <c r="I1073" s="5" t="e">
        <f t="shared" si="63"/>
        <v>#N/A</v>
      </c>
      <c r="AD1073" s="33" t="str">
        <f t="shared" si="61"/>
        <v>Saturday</v>
      </c>
    </row>
    <row r="1074" spans="3:30" x14ac:dyDescent="0.2">
      <c r="C1074" t="s">
        <v>7</v>
      </c>
      <c r="F1074" s="2" t="e" cm="1">
        <f t="array" ref="F1074">_xlfn.IFS(B1074="Owner Surrender",E1074,B1074="Stray",E1074+6,B1074="Stray w/identification",E1074+11,B1074="Bite",E1074+10,B1074="Other",Blank)</f>
        <v>#N/A</v>
      </c>
      <c r="H1074" s="5">
        <f t="shared" si="62"/>
        <v>0</v>
      </c>
      <c r="I1074" s="5" t="e">
        <f t="shared" si="63"/>
        <v>#N/A</v>
      </c>
      <c r="AD1074" s="33" t="str">
        <f t="shared" si="61"/>
        <v>Saturday</v>
      </c>
    </row>
    <row r="1075" spans="3:30" x14ac:dyDescent="0.2">
      <c r="C1075" t="s">
        <v>7</v>
      </c>
      <c r="F1075" s="2" t="e" cm="1">
        <f t="array" ref="F1075">_xlfn.IFS(B1075="Owner Surrender",E1075,B1075="Stray",E1075+6,B1075="Stray w/identification",E1075+11,B1075="Bite",E1075+10,B1075="Other",Blank)</f>
        <v>#N/A</v>
      </c>
      <c r="H1075" s="5">
        <f t="shared" si="62"/>
        <v>0</v>
      </c>
      <c r="I1075" s="5" t="e">
        <f t="shared" si="63"/>
        <v>#N/A</v>
      </c>
      <c r="AD1075" s="33" t="str">
        <f t="shared" si="61"/>
        <v>Saturday</v>
      </c>
    </row>
    <row r="1076" spans="3:30" x14ac:dyDescent="0.2">
      <c r="C1076" t="s">
        <v>7</v>
      </c>
      <c r="F1076" s="2" t="e" cm="1">
        <f t="array" ref="F1076">_xlfn.IFS(B1076="Owner Surrender",E1076,B1076="Stray",E1076+6,B1076="Stray w/identification",E1076+11,B1076="Bite",E1076+10,B1076="Other",Blank)</f>
        <v>#N/A</v>
      </c>
      <c r="H1076" s="5">
        <f t="shared" si="62"/>
        <v>0</v>
      </c>
      <c r="I1076" s="5" t="e">
        <f t="shared" si="63"/>
        <v>#N/A</v>
      </c>
      <c r="AD1076" s="33" t="str">
        <f t="shared" si="61"/>
        <v>Saturday</v>
      </c>
    </row>
    <row r="1077" spans="3:30" x14ac:dyDescent="0.2">
      <c r="C1077" t="s">
        <v>7</v>
      </c>
      <c r="F1077" s="2" t="e" cm="1">
        <f t="array" ref="F1077">_xlfn.IFS(B1077="Owner Surrender",E1077,B1077="Stray",E1077+6,B1077="Stray w/identification",E1077+11,B1077="Bite",E1077+10,B1077="Other",Blank)</f>
        <v>#N/A</v>
      </c>
      <c r="H1077" s="5">
        <f t="shared" si="62"/>
        <v>0</v>
      </c>
      <c r="I1077" s="5" t="e">
        <f t="shared" si="63"/>
        <v>#N/A</v>
      </c>
      <c r="AD1077" s="33" t="str">
        <f t="shared" si="61"/>
        <v>Saturday</v>
      </c>
    </row>
    <row r="1078" spans="3:30" x14ac:dyDescent="0.2">
      <c r="C1078" t="s">
        <v>7</v>
      </c>
      <c r="F1078" s="2" t="e" cm="1">
        <f t="array" ref="F1078">_xlfn.IFS(B1078="Owner Surrender",E1078,B1078="Stray",E1078+6,B1078="Stray w/identification",E1078+11,B1078="Bite",E1078+10,B1078="Other",Blank)</f>
        <v>#N/A</v>
      </c>
      <c r="H1078" s="5">
        <f t="shared" si="62"/>
        <v>0</v>
      </c>
      <c r="I1078" s="5" t="e">
        <f t="shared" si="63"/>
        <v>#N/A</v>
      </c>
      <c r="AD1078" s="33" t="str">
        <f t="shared" si="61"/>
        <v>Saturday</v>
      </c>
    </row>
    <row r="1079" spans="3:30" x14ac:dyDescent="0.2">
      <c r="C1079" t="s">
        <v>7</v>
      </c>
      <c r="F1079" s="2" t="e" cm="1">
        <f t="array" ref="F1079">_xlfn.IFS(B1079="Owner Surrender",E1079,B1079="Stray",E1079+6,B1079="Stray w/identification",E1079+11,B1079="Bite",E1079+10,B1079="Other",Blank)</f>
        <v>#N/A</v>
      </c>
      <c r="H1079" s="5">
        <f t="shared" si="62"/>
        <v>0</v>
      </c>
      <c r="I1079" s="5" t="e">
        <f t="shared" si="63"/>
        <v>#N/A</v>
      </c>
      <c r="AD1079" s="33" t="str">
        <f t="shared" si="61"/>
        <v>Saturday</v>
      </c>
    </row>
    <row r="1080" spans="3:30" x14ac:dyDescent="0.2">
      <c r="C1080" t="s">
        <v>7</v>
      </c>
      <c r="F1080" s="2" t="e" cm="1">
        <f t="array" ref="F1080">_xlfn.IFS(B1080="Owner Surrender",E1080,B1080="Stray",E1080+6,B1080="Stray w/identification",E1080+11,B1080="Bite",E1080+10,B1080="Other",Blank)</f>
        <v>#N/A</v>
      </c>
      <c r="H1080" s="5">
        <f t="shared" si="62"/>
        <v>0</v>
      </c>
      <c r="I1080" s="5" t="e">
        <f t="shared" si="63"/>
        <v>#N/A</v>
      </c>
      <c r="AD1080" s="33" t="str">
        <f t="shared" si="61"/>
        <v>Saturday</v>
      </c>
    </row>
    <row r="1081" spans="3:30" x14ac:dyDescent="0.2">
      <c r="C1081" t="s">
        <v>7</v>
      </c>
      <c r="F1081" s="2" t="e" cm="1">
        <f t="array" ref="F1081">_xlfn.IFS(B1081="Owner Surrender",E1081,B1081="Stray",E1081+6,B1081="Stray w/identification",E1081+11,B1081="Bite",E1081+10,B1081="Other",Blank)</f>
        <v>#N/A</v>
      </c>
      <c r="H1081" s="5">
        <f t="shared" si="62"/>
        <v>0</v>
      </c>
      <c r="I1081" s="5" t="e">
        <f t="shared" si="63"/>
        <v>#N/A</v>
      </c>
      <c r="AD1081" s="33" t="str">
        <f t="shared" si="61"/>
        <v>Saturday</v>
      </c>
    </row>
    <row r="1082" spans="3:30" x14ac:dyDescent="0.2">
      <c r="C1082" t="s">
        <v>7</v>
      </c>
      <c r="F1082" s="2" t="e" cm="1">
        <f t="array" ref="F1082">_xlfn.IFS(B1082="Owner Surrender",E1082,B1082="Stray",E1082+6,B1082="Stray w/identification",E1082+11,B1082="Bite",E1082+10,B1082="Other",Blank)</f>
        <v>#N/A</v>
      </c>
      <c r="H1082" s="5">
        <f t="shared" si="62"/>
        <v>0</v>
      </c>
      <c r="I1082" s="5" t="e">
        <f t="shared" si="63"/>
        <v>#N/A</v>
      </c>
      <c r="AD1082" s="33" t="str">
        <f t="shared" si="61"/>
        <v>Saturday</v>
      </c>
    </row>
    <row r="1083" spans="3:30" x14ac:dyDescent="0.2">
      <c r="C1083" t="s">
        <v>7</v>
      </c>
      <c r="F1083" s="2" t="e" cm="1">
        <f t="array" ref="F1083">_xlfn.IFS(B1083="Owner Surrender",E1083,B1083="Stray",E1083+6,B1083="Stray w/identification",E1083+11,B1083="Bite",E1083+10,B1083="Other",Blank)</f>
        <v>#N/A</v>
      </c>
      <c r="H1083" s="5">
        <f t="shared" si="62"/>
        <v>0</v>
      </c>
      <c r="I1083" s="5" t="e">
        <f t="shared" si="63"/>
        <v>#N/A</v>
      </c>
      <c r="AD1083" s="33" t="str">
        <f t="shared" si="61"/>
        <v>Saturday</v>
      </c>
    </row>
    <row r="1084" spans="3:30" x14ac:dyDescent="0.2">
      <c r="C1084" t="s">
        <v>7</v>
      </c>
      <c r="F1084" s="2" t="e" cm="1">
        <f t="array" ref="F1084">_xlfn.IFS(B1084="Owner Surrender",E1084,B1084="Stray",E1084+6,B1084="Stray w/identification",E1084+11,B1084="Bite",E1084+10,B1084="Other",Blank)</f>
        <v>#N/A</v>
      </c>
      <c r="H1084" s="5">
        <f t="shared" si="62"/>
        <v>0</v>
      </c>
      <c r="I1084" s="5" t="e">
        <f t="shared" si="63"/>
        <v>#N/A</v>
      </c>
      <c r="AD1084" s="33" t="str">
        <f t="shared" si="61"/>
        <v>Saturday</v>
      </c>
    </row>
    <row r="1085" spans="3:30" x14ac:dyDescent="0.2">
      <c r="C1085" t="s">
        <v>7</v>
      </c>
      <c r="F1085" s="2" t="e" cm="1">
        <f t="array" ref="F1085">_xlfn.IFS(B1085="Owner Surrender",E1085,B1085="Stray",E1085+6,B1085="Stray w/identification",E1085+11,B1085="Bite",E1085+10,B1085="Other",Blank)</f>
        <v>#N/A</v>
      </c>
      <c r="H1085" s="5">
        <f t="shared" si="62"/>
        <v>0</v>
      </c>
      <c r="I1085" s="5" t="e">
        <f t="shared" si="63"/>
        <v>#N/A</v>
      </c>
      <c r="AD1085" s="33" t="str">
        <f t="shared" si="61"/>
        <v>Saturday</v>
      </c>
    </row>
    <row r="1086" spans="3:30" x14ac:dyDescent="0.2">
      <c r="C1086" t="s">
        <v>7</v>
      </c>
      <c r="F1086" s="2" t="e" cm="1">
        <f t="array" ref="F1086">_xlfn.IFS(B1086="Owner Surrender",E1086,B1086="Stray",E1086+6,B1086="Stray w/identification",E1086+11,B1086="Bite",E1086+10,B1086="Other",Blank)</f>
        <v>#N/A</v>
      </c>
      <c r="H1086" s="5">
        <f t="shared" si="62"/>
        <v>0</v>
      </c>
      <c r="I1086" s="5" t="e">
        <f t="shared" si="63"/>
        <v>#N/A</v>
      </c>
      <c r="AD1086" s="33" t="str">
        <f t="shared" si="61"/>
        <v>Saturday</v>
      </c>
    </row>
    <row r="1087" spans="3:30" x14ac:dyDescent="0.2">
      <c r="C1087" t="s">
        <v>7</v>
      </c>
      <c r="F1087" s="2" t="e" cm="1">
        <f t="array" ref="F1087">_xlfn.IFS(B1087="Owner Surrender",E1087,B1087="Stray",E1087+6,B1087="Stray w/identification",E1087+11,B1087="Bite",E1087+10,B1087="Other",Blank)</f>
        <v>#N/A</v>
      </c>
      <c r="H1087" s="5">
        <f t="shared" si="62"/>
        <v>0</v>
      </c>
      <c r="I1087" s="5" t="e">
        <f t="shared" si="63"/>
        <v>#N/A</v>
      </c>
      <c r="AD1087" s="33" t="str">
        <f t="shared" si="61"/>
        <v>Saturday</v>
      </c>
    </row>
    <row r="1088" spans="3:30" x14ac:dyDescent="0.2">
      <c r="C1088" t="s">
        <v>7</v>
      </c>
      <c r="F1088" s="2" t="e" cm="1">
        <f t="array" ref="F1088">_xlfn.IFS(B1088="Owner Surrender",E1088,B1088="Stray",E1088+6,B1088="Stray w/identification",E1088+11,B1088="Bite",E1088+10,B1088="Other",Blank)</f>
        <v>#N/A</v>
      </c>
      <c r="H1088" s="5">
        <f t="shared" si="62"/>
        <v>0</v>
      </c>
      <c r="I1088" s="5" t="e">
        <f t="shared" si="63"/>
        <v>#N/A</v>
      </c>
      <c r="AD1088" s="33" t="str">
        <f t="shared" si="61"/>
        <v>Saturday</v>
      </c>
    </row>
    <row r="1089" spans="3:30" x14ac:dyDescent="0.2">
      <c r="C1089" t="s">
        <v>7</v>
      </c>
      <c r="F1089" s="2" t="e" cm="1">
        <f t="array" ref="F1089">_xlfn.IFS(B1089="Owner Surrender",E1089,B1089="Stray",E1089+6,B1089="Stray w/identification",E1089+11,B1089="Bite",E1089+10,B1089="Other",Blank)</f>
        <v>#N/A</v>
      </c>
      <c r="H1089" s="5">
        <f t="shared" si="62"/>
        <v>0</v>
      </c>
      <c r="I1089" s="5" t="e">
        <f t="shared" si="63"/>
        <v>#N/A</v>
      </c>
      <c r="AD1089" s="33" t="str">
        <f t="shared" si="61"/>
        <v>Saturday</v>
      </c>
    </row>
    <row r="1090" spans="3:30" x14ac:dyDescent="0.2">
      <c r="C1090" t="s">
        <v>7</v>
      </c>
      <c r="F1090" s="2" t="e" cm="1">
        <f t="array" ref="F1090">_xlfn.IFS(B1090="Owner Surrender",E1090,B1090="Stray",E1090+6,B1090="Stray w/identification",E1090+11,B1090="Bite",E1090+10,B1090="Other",Blank)</f>
        <v>#N/A</v>
      </c>
      <c r="H1090" s="5">
        <f t="shared" si="62"/>
        <v>0</v>
      </c>
      <c r="I1090" s="5" t="e">
        <f t="shared" si="63"/>
        <v>#N/A</v>
      </c>
      <c r="AD1090" s="33" t="str">
        <f t="shared" si="61"/>
        <v>Saturday</v>
      </c>
    </row>
    <row r="1091" spans="3:30" x14ac:dyDescent="0.2">
      <c r="C1091" t="s">
        <v>7</v>
      </c>
      <c r="F1091" s="2" t="e" cm="1">
        <f t="array" ref="F1091">_xlfn.IFS(B1091="Owner Surrender",E1091,B1091="Stray",E1091+6,B1091="Stray w/identification",E1091+11,B1091="Bite",E1091+10,B1091="Other",Blank)</f>
        <v>#N/A</v>
      </c>
      <c r="H1091" s="5">
        <f t="shared" si="62"/>
        <v>0</v>
      </c>
      <c r="I1091" s="5" t="e">
        <f t="shared" si="63"/>
        <v>#N/A</v>
      </c>
      <c r="AD1091" s="33" t="str">
        <f t="shared" si="61"/>
        <v>Saturday</v>
      </c>
    </row>
    <row r="1092" spans="3:30" x14ac:dyDescent="0.2">
      <c r="C1092" t="s">
        <v>7</v>
      </c>
      <c r="F1092" s="2" t="e" cm="1">
        <f t="array" ref="F1092">_xlfn.IFS(B1092="Owner Surrender",E1092,B1092="Stray",E1092+6,B1092="Stray w/identification",E1092+11,B1092="Bite",E1092+10,B1092="Other",Blank)</f>
        <v>#N/A</v>
      </c>
      <c r="H1092" s="5">
        <f t="shared" si="62"/>
        <v>0</v>
      </c>
      <c r="I1092" s="5" t="e">
        <f t="shared" si="63"/>
        <v>#N/A</v>
      </c>
      <c r="AD1092" s="33" t="str">
        <f t="shared" ref="AD1092:AD1108" si="64">TEXT(G1092,"DDDD")</f>
        <v>Saturday</v>
      </c>
    </row>
    <row r="1093" spans="3:30" x14ac:dyDescent="0.2">
      <c r="C1093" t="s">
        <v>7</v>
      </c>
      <c r="F1093" s="2" t="e" cm="1">
        <f t="array" ref="F1093">_xlfn.IFS(B1093="Owner Surrender",E1093,B1093="Stray",E1093+6,B1093="Stray w/identification",E1093+11,B1093="Bite",E1093+10,B1093="Other",Blank)</f>
        <v>#N/A</v>
      </c>
      <c r="H1093" s="5">
        <f t="shared" si="62"/>
        <v>0</v>
      </c>
      <c r="I1093" s="5" t="e">
        <f t="shared" si="63"/>
        <v>#N/A</v>
      </c>
      <c r="AD1093" s="33" t="str">
        <f t="shared" si="64"/>
        <v>Saturday</v>
      </c>
    </row>
    <row r="1094" spans="3:30" x14ac:dyDescent="0.2">
      <c r="C1094" t="s">
        <v>7</v>
      </c>
      <c r="F1094" s="2" t="e" cm="1">
        <f t="array" ref="F1094">_xlfn.IFS(B1094="Owner Surrender",E1094,B1094="Stray",E1094+6,B1094="Stray w/identification",E1094+11,B1094="Bite",E1094+10,B1094="Other",Blank)</f>
        <v>#N/A</v>
      </c>
      <c r="H1094" s="5">
        <f t="shared" si="62"/>
        <v>0</v>
      </c>
      <c r="I1094" s="5" t="e">
        <f t="shared" si="63"/>
        <v>#N/A</v>
      </c>
      <c r="AD1094" s="33" t="str">
        <f t="shared" si="64"/>
        <v>Saturday</v>
      </c>
    </row>
    <row r="1095" spans="3:30" x14ac:dyDescent="0.2">
      <c r="C1095" t="s">
        <v>7</v>
      </c>
      <c r="F1095" s="2" t="e" cm="1">
        <f t="array" ref="F1095">_xlfn.IFS(B1095="Owner Surrender",E1095,B1095="Stray",E1095+6,B1095="Stray w/identification",E1095+11,B1095="Bite",E1095+10,B1095="Other",Blank)</f>
        <v>#N/A</v>
      </c>
      <c r="H1095" s="5">
        <f t="shared" si="62"/>
        <v>0</v>
      </c>
      <c r="I1095" s="5" t="e">
        <f t="shared" si="63"/>
        <v>#N/A</v>
      </c>
      <c r="AD1095" s="33" t="str">
        <f t="shared" si="64"/>
        <v>Saturday</v>
      </c>
    </row>
    <row r="1096" spans="3:30" x14ac:dyDescent="0.2">
      <c r="C1096" t="s">
        <v>7</v>
      </c>
      <c r="F1096" s="2" t="e" cm="1">
        <f t="array" ref="F1096">_xlfn.IFS(B1096="Owner Surrender",E1096,B1096="Stray",E1096+6,B1096="Stray w/identification",E1096+11,B1096="Bite",E1096+10,B1096="Other",Blank)</f>
        <v>#N/A</v>
      </c>
      <c r="H1096" s="5">
        <f t="shared" si="62"/>
        <v>0</v>
      </c>
      <c r="I1096" s="5" t="e">
        <f t="shared" si="63"/>
        <v>#N/A</v>
      </c>
      <c r="AD1096" s="33" t="str">
        <f t="shared" si="64"/>
        <v>Saturday</v>
      </c>
    </row>
    <row r="1097" spans="3:30" x14ac:dyDescent="0.2">
      <c r="C1097" t="s">
        <v>7</v>
      </c>
      <c r="F1097" s="2" t="e" cm="1">
        <f t="array" ref="F1097">_xlfn.IFS(B1097="Owner Surrender",E1097,B1097="Stray",E1097+6,B1097="Stray w/identification",E1097+11,B1097="Bite",E1097+10,B1097="Other",Blank)</f>
        <v>#N/A</v>
      </c>
      <c r="H1097" s="5">
        <f t="shared" si="62"/>
        <v>0</v>
      </c>
      <c r="I1097" s="5" t="e">
        <f t="shared" si="63"/>
        <v>#N/A</v>
      </c>
      <c r="AD1097" s="33" t="str">
        <f t="shared" si="64"/>
        <v>Saturday</v>
      </c>
    </row>
    <row r="1098" spans="3:30" x14ac:dyDescent="0.2">
      <c r="C1098" t="s">
        <v>7</v>
      </c>
      <c r="F1098" s="2" t="e" cm="1">
        <f t="array" ref="F1098">_xlfn.IFS(B1098="Owner Surrender",E1098,B1098="Stray",E1098+6,B1098="Stray w/identification",E1098+11,B1098="Bite",E1098+10,B1098="Other",Blank)</f>
        <v>#N/A</v>
      </c>
      <c r="H1098" s="5">
        <f t="shared" si="62"/>
        <v>0</v>
      </c>
      <c r="I1098" s="5" t="e">
        <f t="shared" si="63"/>
        <v>#N/A</v>
      </c>
      <c r="AD1098" s="33" t="str">
        <f t="shared" si="64"/>
        <v>Saturday</v>
      </c>
    </row>
    <row r="1099" spans="3:30" x14ac:dyDescent="0.2">
      <c r="C1099" t="s">
        <v>7</v>
      </c>
      <c r="F1099" s="2" t="e" cm="1">
        <f t="array" ref="F1099">_xlfn.IFS(B1099="Owner Surrender",E1099,B1099="Stray",E1099+6,B1099="Stray w/identification",E1099+11,B1099="Bite",E1099+10,B1099="Other",Blank)</f>
        <v>#N/A</v>
      </c>
      <c r="H1099" s="5">
        <f t="shared" si="62"/>
        <v>0</v>
      </c>
      <c r="I1099" s="5" t="e">
        <f t="shared" si="63"/>
        <v>#N/A</v>
      </c>
      <c r="AD1099" s="33" t="str">
        <f t="shared" si="64"/>
        <v>Saturday</v>
      </c>
    </row>
    <row r="1100" spans="3:30" x14ac:dyDescent="0.2">
      <c r="C1100" t="s">
        <v>7</v>
      </c>
      <c r="F1100" s="2" t="e" cm="1">
        <f t="array" ref="F1100">_xlfn.IFS(B1100="Owner Surrender",E1100,B1100="Stray",E1100+6,B1100="Stray w/identification",E1100+11,B1100="Bite",E1100+10,B1100="Other",Blank)</f>
        <v>#N/A</v>
      </c>
      <c r="H1100" s="5">
        <f t="shared" si="62"/>
        <v>0</v>
      </c>
      <c r="I1100" s="5" t="e">
        <f t="shared" si="63"/>
        <v>#N/A</v>
      </c>
      <c r="AD1100" s="33" t="str">
        <f t="shared" si="64"/>
        <v>Saturday</v>
      </c>
    </row>
    <row r="1101" spans="3:30" x14ac:dyDescent="0.2">
      <c r="C1101" t="s">
        <v>7</v>
      </c>
      <c r="F1101" s="2" t="e" cm="1">
        <f t="array" ref="F1101">_xlfn.IFS(B1101="Owner Surrender",E1101,B1101="Stray",E1101+6,B1101="Stray w/identification",E1101+11,B1101="Bite",E1101+10,B1101="Other",Blank)</f>
        <v>#N/A</v>
      </c>
      <c r="H1101" s="5">
        <f t="shared" si="62"/>
        <v>0</v>
      </c>
      <c r="I1101" s="5" t="e">
        <f t="shared" si="63"/>
        <v>#N/A</v>
      </c>
      <c r="AD1101" s="33" t="str">
        <f t="shared" si="64"/>
        <v>Saturday</v>
      </c>
    </row>
    <row r="1102" spans="3:30" x14ac:dyDescent="0.2">
      <c r="C1102" t="s">
        <v>7</v>
      </c>
      <c r="F1102" s="2" t="e" cm="1">
        <f t="array" ref="F1102">_xlfn.IFS(B1102="Owner Surrender",E1102,B1102="Stray",E1102+6,B1102="Stray w/identification",E1102+11,B1102="Bite",E1102+10,B1102="Other",Blank)</f>
        <v>#N/A</v>
      </c>
      <c r="H1102" s="5">
        <f t="shared" si="62"/>
        <v>0</v>
      </c>
      <c r="I1102" s="5" t="e">
        <f t="shared" si="63"/>
        <v>#N/A</v>
      </c>
      <c r="AD1102" s="33" t="str">
        <f t="shared" si="64"/>
        <v>Saturday</v>
      </c>
    </row>
    <row r="1103" spans="3:30" x14ac:dyDescent="0.2">
      <c r="C1103" t="s">
        <v>7</v>
      </c>
      <c r="F1103" s="2" t="e" cm="1">
        <f t="array" ref="F1103">_xlfn.IFS(B1103="Owner Surrender",E1103,B1103="Stray",E1103+6,B1103="Stray w/identification",E1103+11,B1103="Bite",E1103+10,B1103="Other",Blank)</f>
        <v>#N/A</v>
      </c>
      <c r="H1103" s="5">
        <f t="shared" si="62"/>
        <v>0</v>
      </c>
      <c r="I1103" s="5" t="e">
        <f t="shared" si="63"/>
        <v>#N/A</v>
      </c>
      <c r="AD1103" s="33" t="str">
        <f t="shared" si="64"/>
        <v>Saturday</v>
      </c>
    </row>
    <row r="1104" spans="3:30" x14ac:dyDescent="0.2">
      <c r="C1104" t="s">
        <v>7</v>
      </c>
      <c r="F1104" s="2" t="e" cm="1">
        <f t="array" ref="F1104">_xlfn.IFS(B1104="Owner Surrender",E1104,B1104="Stray",E1104+6,B1104="Stray w/identification",E1104+11,B1104="Bite",E1104+10,B1104="Other",Blank)</f>
        <v>#N/A</v>
      </c>
      <c r="H1104" s="5">
        <f t="shared" si="62"/>
        <v>0</v>
      </c>
      <c r="I1104" s="5" t="e">
        <f t="shared" si="63"/>
        <v>#N/A</v>
      </c>
      <c r="AD1104" s="33" t="str">
        <f t="shared" si="64"/>
        <v>Saturday</v>
      </c>
    </row>
    <row r="1105" spans="3:30" x14ac:dyDescent="0.2">
      <c r="C1105" t="s">
        <v>7</v>
      </c>
      <c r="F1105" s="2" t="e" cm="1">
        <f t="array" ref="F1105">_xlfn.IFS(B1105="Owner Surrender",E1105,B1105="Stray",E1105+6,B1105="Stray w/identification",E1105+11,B1105="Bite",E1105+10,B1105="Other",Blank)</f>
        <v>#N/A</v>
      </c>
      <c r="H1105" s="5">
        <f t="shared" si="62"/>
        <v>0</v>
      </c>
      <c r="I1105" s="5" t="e">
        <f t="shared" si="63"/>
        <v>#N/A</v>
      </c>
      <c r="AD1105" s="33" t="str">
        <f t="shared" si="64"/>
        <v>Saturday</v>
      </c>
    </row>
    <row r="1106" spans="3:30" x14ac:dyDescent="0.2">
      <c r="C1106" t="s">
        <v>7</v>
      </c>
      <c r="F1106" s="2" t="e" cm="1">
        <f t="array" ref="F1106">_xlfn.IFS(B1106="Owner Surrender",E1106,B1106="Stray",E1106+6,B1106="Stray w/identification",E1106+11,B1106="Bite",E1106+10,B1106="Other",Blank)</f>
        <v>#N/A</v>
      </c>
      <c r="H1106" s="5">
        <f t="shared" si="62"/>
        <v>0</v>
      </c>
      <c r="I1106" s="5" t="e">
        <f t="shared" si="63"/>
        <v>#N/A</v>
      </c>
      <c r="AD1106" s="33" t="str">
        <f t="shared" si="64"/>
        <v>Saturday</v>
      </c>
    </row>
    <row r="1107" spans="3:30" x14ac:dyDescent="0.2">
      <c r="C1107" t="s">
        <v>7</v>
      </c>
      <c r="F1107" s="2" t="e" cm="1">
        <f t="array" ref="F1107">_xlfn.IFS(B1107="Owner Surrender",E1107,B1107="Stray",E1107+6,B1107="Stray w/identification",E1107+11,B1107="Bite",E1107+10,B1107="Other",Blank)</f>
        <v>#N/A</v>
      </c>
      <c r="H1107" s="5">
        <f t="shared" si="62"/>
        <v>0</v>
      </c>
      <c r="I1107" s="5" t="e">
        <f t="shared" si="63"/>
        <v>#N/A</v>
      </c>
      <c r="AD1107" s="33" t="str">
        <f t="shared" si="64"/>
        <v>Saturday</v>
      </c>
    </row>
    <row r="1108" spans="3:30" x14ac:dyDescent="0.2">
      <c r="C1108" t="s">
        <v>7</v>
      </c>
      <c r="F1108" s="2" t="e" cm="1">
        <f t="array" ref="F1108">_xlfn.IFS(B1108="Owner Surrender",E1108,B1108="Stray",E1108+6,B1108="Stray w/identification",E1108+11,B1108="Bite",E1108+10,B1108="Other",Blank)</f>
        <v>#N/A</v>
      </c>
      <c r="H1108" s="5">
        <f t="shared" si="62"/>
        <v>0</v>
      </c>
      <c r="I1108" s="5" t="e">
        <f t="shared" si="63"/>
        <v>#N/A</v>
      </c>
      <c r="AD1108" s="33" t="str">
        <f t="shared" si="64"/>
        <v>Saturday</v>
      </c>
    </row>
    <row r="1109" spans="3:30" x14ac:dyDescent="0.2">
      <c r="C1109" t="s">
        <v>7</v>
      </c>
      <c r="F1109" s="2" t="e" cm="1">
        <f t="array" ref="F1109">_xlfn.IFS(B1109="Owner Surrender",E1109,B1109="Stray",E1109+6,B1109="Stray w/identification",E1109+11,B1109="Bite",E1109+10,B1109="Other",Blank)</f>
        <v>#N/A</v>
      </c>
      <c r="H1109" s="5">
        <f t="shared" si="62"/>
        <v>0</v>
      </c>
      <c r="I1109" s="5" t="e">
        <f t="shared" si="63"/>
        <v>#N/A</v>
      </c>
    </row>
    <row r="1110" spans="3:30" x14ac:dyDescent="0.2">
      <c r="C1110" t="s">
        <v>7</v>
      </c>
      <c r="F1110" s="2" t="e" cm="1">
        <f t="array" ref="F1110">_xlfn.IFS(B1110="Owner Surrender",E1110,B1110="Stray",E1110+6,B1110="Stray w/identification",E1110+11,B1110="Bite",E1110+10,B1110="Other",Blank)</f>
        <v>#N/A</v>
      </c>
      <c r="H1110" s="5">
        <f t="shared" si="62"/>
        <v>0</v>
      </c>
      <c r="I1110" s="5" t="e">
        <f t="shared" si="63"/>
        <v>#N/A</v>
      </c>
    </row>
    <row r="1111" spans="3:30" x14ac:dyDescent="0.2">
      <c r="C1111" t="s">
        <v>7</v>
      </c>
      <c r="F1111" s="2" t="e" cm="1">
        <f t="array" ref="F1111">_xlfn.IFS(B1111="Owner Surrender",E1111,B1111="Stray",E1111+6,B1111="Stray w/identification",E1111+11,B1111="Bite",E1111+10,B1111="Other",Blank)</f>
        <v>#N/A</v>
      </c>
      <c r="H1111" s="5">
        <f t="shared" si="62"/>
        <v>0</v>
      </c>
      <c r="I1111" s="5" t="e">
        <f t="shared" si="63"/>
        <v>#N/A</v>
      </c>
    </row>
    <row r="1112" spans="3:30" x14ac:dyDescent="0.2">
      <c r="C1112" t="s">
        <v>7</v>
      </c>
      <c r="F1112" s="2" t="e" cm="1">
        <f t="array" ref="F1112">_xlfn.IFS(B1112="Owner Surrender",E1112,B1112="Stray",E1112+6,B1112="Stray w/identification",E1112+11,B1112="Bite",E1112+10,B1112="Other",Blank)</f>
        <v>#N/A</v>
      </c>
      <c r="H1112" s="5">
        <f t="shared" si="62"/>
        <v>0</v>
      </c>
      <c r="I1112" s="5" t="e">
        <f t="shared" si="63"/>
        <v>#N/A</v>
      </c>
    </row>
    <row r="1113" spans="3:30" x14ac:dyDescent="0.2">
      <c r="C1113" t="s">
        <v>7</v>
      </c>
      <c r="F1113" s="2" t="e" cm="1">
        <f t="array" ref="F1113">_xlfn.IFS(B1113="Owner Surrender",E1113,B1113="Stray",E1113+6,B1113="Stray w/identification",E1113+11,B1113="Bite",E1113+10,B1113="Other",Blank)</f>
        <v>#N/A</v>
      </c>
      <c r="H1113" s="5">
        <f t="shared" si="62"/>
        <v>0</v>
      </c>
      <c r="I1113" s="5" t="e">
        <f t="shared" si="63"/>
        <v>#N/A</v>
      </c>
    </row>
    <row r="1114" spans="3:30" x14ac:dyDescent="0.2">
      <c r="C1114" t="s">
        <v>7</v>
      </c>
      <c r="F1114" s="2" t="e" cm="1">
        <f t="array" ref="F1114">_xlfn.IFS(B1114="Owner Surrender",E1114,B1114="Stray",E1114+6,B1114="Stray w/identification",E1114+11,B1114="Bite",E1114+10,B1114="Other",Blank)</f>
        <v>#N/A</v>
      </c>
      <c r="H1114" s="5">
        <f t="shared" ref="H1114:H1177" si="65">+G1114-E1114</f>
        <v>0</v>
      </c>
      <c r="I1114" s="5" t="e">
        <f t="shared" ref="I1114:I1177" si="66">G1114-F1114</f>
        <v>#N/A</v>
      </c>
    </row>
    <row r="1115" spans="3:30" x14ac:dyDescent="0.2">
      <c r="C1115" t="s">
        <v>7</v>
      </c>
      <c r="F1115" s="2" t="e" cm="1">
        <f t="array" ref="F1115">_xlfn.IFS(B1115="Owner Surrender",E1115,B1115="Stray",E1115+6,B1115="Stray w/identification",E1115+11,B1115="Bite",E1115+10,B1115="Other",Blank)</f>
        <v>#N/A</v>
      </c>
      <c r="H1115" s="5">
        <f t="shared" si="65"/>
        <v>0</v>
      </c>
      <c r="I1115" s="5" t="e">
        <f t="shared" si="66"/>
        <v>#N/A</v>
      </c>
    </row>
    <row r="1116" spans="3:30" x14ac:dyDescent="0.2">
      <c r="C1116" t="s">
        <v>7</v>
      </c>
      <c r="F1116" s="2" t="e" cm="1">
        <f t="array" ref="F1116">_xlfn.IFS(B1116="Owner Surrender",E1116,B1116="Stray",E1116+6,B1116="Stray w/identification",E1116+11,B1116="Bite",E1116+10,B1116="Other",Blank)</f>
        <v>#N/A</v>
      </c>
      <c r="H1116" s="5">
        <f t="shared" si="65"/>
        <v>0</v>
      </c>
      <c r="I1116" s="5" t="e">
        <f t="shared" si="66"/>
        <v>#N/A</v>
      </c>
    </row>
    <row r="1117" spans="3:30" x14ac:dyDescent="0.2">
      <c r="C1117" t="s">
        <v>7</v>
      </c>
      <c r="F1117" s="2" t="e" cm="1">
        <f t="array" ref="F1117">_xlfn.IFS(B1117="Owner Surrender",E1117,B1117="Stray",E1117+6,B1117="Stray w/identification",E1117+11,B1117="Bite",E1117+10,B1117="Other",Blank)</f>
        <v>#N/A</v>
      </c>
      <c r="H1117" s="5">
        <f t="shared" si="65"/>
        <v>0</v>
      </c>
      <c r="I1117" s="5" t="e">
        <f t="shared" si="66"/>
        <v>#N/A</v>
      </c>
    </row>
    <row r="1118" spans="3:30" x14ac:dyDescent="0.2">
      <c r="C1118" t="s">
        <v>7</v>
      </c>
      <c r="F1118" s="2" t="e" cm="1">
        <f t="array" ref="F1118">_xlfn.IFS(B1118="Owner Surrender",E1118,B1118="Stray",E1118+6,B1118="Stray w/identification",E1118+11,B1118="Bite",E1118+10,B1118="Other",Blank)</f>
        <v>#N/A</v>
      </c>
      <c r="H1118" s="5">
        <f t="shared" si="65"/>
        <v>0</v>
      </c>
      <c r="I1118" s="5" t="e">
        <f t="shared" si="66"/>
        <v>#N/A</v>
      </c>
    </row>
    <row r="1119" spans="3:30" x14ac:dyDescent="0.2">
      <c r="C1119" t="s">
        <v>7</v>
      </c>
      <c r="F1119" s="2" t="e" cm="1">
        <f t="array" ref="F1119">_xlfn.IFS(B1119="Owner Surrender",E1119,B1119="Stray",E1119+6,B1119="Stray w/identification",E1119+11,B1119="Bite",E1119+10,B1119="Other",Blank)</f>
        <v>#N/A</v>
      </c>
      <c r="H1119" s="5">
        <f t="shared" si="65"/>
        <v>0</v>
      </c>
      <c r="I1119" s="5" t="e">
        <f t="shared" si="66"/>
        <v>#N/A</v>
      </c>
    </row>
    <row r="1120" spans="3:30" x14ac:dyDescent="0.2">
      <c r="C1120" t="s">
        <v>7</v>
      </c>
      <c r="F1120" s="2" t="e" cm="1">
        <f t="array" ref="F1120">_xlfn.IFS(B1120="Owner Surrender",E1120,B1120="Stray",E1120+6,B1120="Stray w/identification",E1120+11,B1120="Bite",E1120+10,B1120="Other",Blank)</f>
        <v>#N/A</v>
      </c>
      <c r="H1120" s="5">
        <f t="shared" si="65"/>
        <v>0</v>
      </c>
      <c r="I1120" s="5" t="e">
        <f t="shared" si="66"/>
        <v>#N/A</v>
      </c>
    </row>
    <row r="1121" spans="3:9" x14ac:dyDescent="0.2">
      <c r="C1121" t="s">
        <v>7</v>
      </c>
      <c r="F1121" s="2" t="e" cm="1">
        <f t="array" ref="F1121">_xlfn.IFS(B1121="Owner Surrender",E1121,B1121="Stray",E1121+6,B1121="Stray w/identification",E1121+11,B1121="Bite",E1121+10,B1121="Other",Blank)</f>
        <v>#N/A</v>
      </c>
      <c r="H1121" s="5">
        <f t="shared" si="65"/>
        <v>0</v>
      </c>
      <c r="I1121" s="5" t="e">
        <f t="shared" si="66"/>
        <v>#N/A</v>
      </c>
    </row>
    <row r="1122" spans="3:9" x14ac:dyDescent="0.2">
      <c r="C1122" t="s">
        <v>7</v>
      </c>
      <c r="F1122" s="2" t="e" cm="1">
        <f t="array" ref="F1122">_xlfn.IFS(B1122="Owner Surrender",E1122,B1122="Stray",E1122+6,B1122="Stray w/identification",E1122+11,B1122="Bite",E1122+10,B1122="Other",Blank)</f>
        <v>#N/A</v>
      </c>
      <c r="H1122" s="5">
        <f t="shared" si="65"/>
        <v>0</v>
      </c>
      <c r="I1122" s="5" t="e">
        <f t="shared" si="66"/>
        <v>#N/A</v>
      </c>
    </row>
    <row r="1123" spans="3:9" x14ac:dyDescent="0.2">
      <c r="C1123" t="s">
        <v>7</v>
      </c>
      <c r="F1123" s="2" t="e" cm="1">
        <f t="array" ref="F1123">_xlfn.IFS(B1123="Owner Surrender",E1123,B1123="Stray",E1123+6,B1123="Stray w/identification",E1123+11,B1123="Bite",E1123+10,B1123="Other",Blank)</f>
        <v>#N/A</v>
      </c>
      <c r="H1123" s="5">
        <f t="shared" si="65"/>
        <v>0</v>
      </c>
      <c r="I1123" s="5" t="e">
        <f t="shared" si="66"/>
        <v>#N/A</v>
      </c>
    </row>
    <row r="1124" spans="3:9" x14ac:dyDescent="0.2">
      <c r="C1124" t="s">
        <v>7</v>
      </c>
      <c r="F1124" s="2" t="e" cm="1">
        <f t="array" ref="F1124">_xlfn.IFS(B1124="Owner Surrender",E1124,B1124="Stray",E1124+6,B1124="Stray w/identification",E1124+11,B1124="Bite",E1124+10,B1124="Other",Blank)</f>
        <v>#N/A</v>
      </c>
      <c r="H1124" s="5">
        <f t="shared" si="65"/>
        <v>0</v>
      </c>
      <c r="I1124" s="5" t="e">
        <f t="shared" si="66"/>
        <v>#N/A</v>
      </c>
    </row>
    <row r="1125" spans="3:9" x14ac:dyDescent="0.2">
      <c r="C1125" t="s">
        <v>7</v>
      </c>
      <c r="F1125" s="2" t="e" cm="1">
        <f t="array" ref="F1125">_xlfn.IFS(B1125="Owner Surrender",E1125,B1125="Stray",E1125+6,B1125="Stray w/identification",E1125+11,B1125="Bite",E1125+10,B1125="Other",Blank)</f>
        <v>#N/A</v>
      </c>
      <c r="H1125" s="5">
        <f t="shared" si="65"/>
        <v>0</v>
      </c>
      <c r="I1125" s="5" t="e">
        <f t="shared" si="66"/>
        <v>#N/A</v>
      </c>
    </row>
    <row r="1126" spans="3:9" x14ac:dyDescent="0.2">
      <c r="C1126" t="s">
        <v>7</v>
      </c>
      <c r="F1126" s="2" t="e" cm="1">
        <f t="array" ref="F1126">_xlfn.IFS(B1126="Owner Surrender",E1126,B1126="Stray",E1126+6,B1126="Stray w/identification",E1126+11,B1126="Bite",E1126+10,B1126="Other",Blank)</f>
        <v>#N/A</v>
      </c>
      <c r="H1126" s="5">
        <f t="shared" si="65"/>
        <v>0</v>
      </c>
      <c r="I1126" s="5" t="e">
        <f t="shared" si="66"/>
        <v>#N/A</v>
      </c>
    </row>
    <row r="1127" spans="3:9" x14ac:dyDescent="0.2">
      <c r="C1127" t="s">
        <v>7</v>
      </c>
      <c r="F1127" s="2" t="e" cm="1">
        <f t="array" ref="F1127">_xlfn.IFS(B1127="Owner Surrender",E1127,B1127="Stray",E1127+6,B1127="Stray w/identification",E1127+11,B1127="Bite",E1127+10,B1127="Other",Blank)</f>
        <v>#N/A</v>
      </c>
      <c r="H1127" s="5">
        <f t="shared" si="65"/>
        <v>0</v>
      </c>
      <c r="I1127" s="5" t="e">
        <f t="shared" si="66"/>
        <v>#N/A</v>
      </c>
    </row>
    <row r="1128" spans="3:9" x14ac:dyDescent="0.2">
      <c r="C1128" t="s">
        <v>7</v>
      </c>
      <c r="F1128" s="2" t="e" cm="1">
        <f t="array" ref="F1128">_xlfn.IFS(B1128="Owner Surrender",E1128,B1128="Stray",E1128+6,B1128="Stray w/identification",E1128+11,B1128="Bite",E1128+10,B1128="Other",Blank)</f>
        <v>#N/A</v>
      </c>
      <c r="H1128" s="5">
        <f t="shared" si="65"/>
        <v>0</v>
      </c>
      <c r="I1128" s="5" t="e">
        <f t="shared" si="66"/>
        <v>#N/A</v>
      </c>
    </row>
    <row r="1129" spans="3:9" x14ac:dyDescent="0.2">
      <c r="C1129" t="s">
        <v>7</v>
      </c>
      <c r="F1129" s="2" t="e" cm="1">
        <f t="array" ref="F1129">_xlfn.IFS(B1129="Owner Surrender",E1129,B1129="Stray",E1129+6,B1129="Stray w/identification",E1129+11,B1129="Bite",E1129+10,B1129="Other",Blank)</f>
        <v>#N/A</v>
      </c>
      <c r="H1129" s="5">
        <f t="shared" si="65"/>
        <v>0</v>
      </c>
      <c r="I1129" s="5" t="e">
        <f t="shared" si="66"/>
        <v>#N/A</v>
      </c>
    </row>
    <row r="1130" spans="3:9" x14ac:dyDescent="0.2">
      <c r="C1130" t="s">
        <v>7</v>
      </c>
      <c r="F1130" s="2" t="e" cm="1">
        <f t="array" ref="F1130">_xlfn.IFS(B1130="Owner Surrender",E1130,B1130="Stray",E1130+6,B1130="Stray w/identification",E1130+11,B1130="Bite",E1130+10,B1130="Other",Blank)</f>
        <v>#N/A</v>
      </c>
      <c r="H1130" s="5">
        <f t="shared" si="65"/>
        <v>0</v>
      </c>
      <c r="I1130" s="5" t="e">
        <f t="shared" si="66"/>
        <v>#N/A</v>
      </c>
    </row>
    <row r="1131" spans="3:9" x14ac:dyDescent="0.2">
      <c r="C1131" t="s">
        <v>7</v>
      </c>
      <c r="F1131" s="2" t="e" cm="1">
        <f t="array" ref="F1131">_xlfn.IFS(B1131="Owner Surrender",E1131,B1131="Stray",E1131+6,B1131="Stray w/identification",E1131+11,B1131="Bite",E1131+10,B1131="Other",Blank)</f>
        <v>#N/A</v>
      </c>
      <c r="H1131" s="5">
        <f t="shared" si="65"/>
        <v>0</v>
      </c>
      <c r="I1131" s="5" t="e">
        <f t="shared" si="66"/>
        <v>#N/A</v>
      </c>
    </row>
    <row r="1132" spans="3:9" x14ac:dyDescent="0.2">
      <c r="C1132" t="s">
        <v>7</v>
      </c>
      <c r="F1132" s="2" t="e" cm="1">
        <f t="array" ref="F1132">_xlfn.IFS(B1132="Owner Surrender",E1132,B1132="Stray",E1132+6,B1132="Stray w/identification",E1132+11,B1132="Bite",E1132+10,B1132="Other",Blank)</f>
        <v>#N/A</v>
      </c>
      <c r="H1132" s="5">
        <f t="shared" si="65"/>
        <v>0</v>
      </c>
      <c r="I1132" s="5" t="e">
        <f t="shared" si="66"/>
        <v>#N/A</v>
      </c>
    </row>
    <row r="1133" spans="3:9" x14ac:dyDescent="0.2">
      <c r="C1133" t="s">
        <v>7</v>
      </c>
      <c r="F1133" s="2" t="e" cm="1">
        <f t="array" ref="F1133">_xlfn.IFS(B1133="Owner Surrender",E1133,B1133="Stray",E1133+6,B1133="Stray w/identification",E1133+11,B1133="Bite",E1133+10,B1133="Other",Blank)</f>
        <v>#N/A</v>
      </c>
      <c r="H1133" s="5">
        <f t="shared" si="65"/>
        <v>0</v>
      </c>
      <c r="I1133" s="5" t="e">
        <f t="shared" si="66"/>
        <v>#N/A</v>
      </c>
    </row>
    <row r="1134" spans="3:9" x14ac:dyDescent="0.2">
      <c r="C1134" t="s">
        <v>7</v>
      </c>
      <c r="F1134" s="2" t="e" cm="1">
        <f t="array" ref="F1134">_xlfn.IFS(B1134="Owner Surrender",E1134,B1134="Stray",E1134+6,B1134="Stray w/identification",E1134+11,B1134="Bite",E1134+10,B1134="Other",Blank)</f>
        <v>#N/A</v>
      </c>
      <c r="H1134" s="5">
        <f t="shared" si="65"/>
        <v>0</v>
      </c>
      <c r="I1134" s="5" t="e">
        <f t="shared" si="66"/>
        <v>#N/A</v>
      </c>
    </row>
    <row r="1135" spans="3:9" x14ac:dyDescent="0.2">
      <c r="C1135" t="s">
        <v>7</v>
      </c>
      <c r="F1135" s="2" t="e" cm="1">
        <f t="array" ref="F1135">_xlfn.IFS(B1135="Owner Surrender",E1135,B1135="Stray",E1135+6,B1135="Stray w/identification",E1135+11,B1135="Bite",E1135+10,B1135="Other",Blank)</f>
        <v>#N/A</v>
      </c>
      <c r="H1135" s="5">
        <f t="shared" si="65"/>
        <v>0</v>
      </c>
      <c r="I1135" s="5" t="e">
        <f t="shared" si="66"/>
        <v>#N/A</v>
      </c>
    </row>
    <row r="1136" spans="3:9" x14ac:dyDescent="0.2">
      <c r="C1136" t="s">
        <v>7</v>
      </c>
      <c r="F1136" s="2" t="e" cm="1">
        <f t="array" ref="F1136">_xlfn.IFS(B1136="Owner Surrender",E1136,B1136="Stray",E1136+6,B1136="Stray w/identification",E1136+11,B1136="Bite",E1136+10,B1136="Other",Blank)</f>
        <v>#N/A</v>
      </c>
      <c r="H1136" s="5">
        <f t="shared" si="65"/>
        <v>0</v>
      </c>
      <c r="I1136" s="5" t="e">
        <f t="shared" si="66"/>
        <v>#N/A</v>
      </c>
    </row>
    <row r="1137" spans="3:9" x14ac:dyDescent="0.2">
      <c r="C1137" t="s">
        <v>7</v>
      </c>
      <c r="F1137" s="2" t="e" cm="1">
        <f t="array" ref="F1137">_xlfn.IFS(B1137="Owner Surrender",E1137,B1137="Stray",E1137+6,B1137="Stray w/identification",E1137+11,B1137="Bite",E1137+10,B1137="Other",Blank)</f>
        <v>#N/A</v>
      </c>
      <c r="H1137" s="5">
        <f t="shared" si="65"/>
        <v>0</v>
      </c>
      <c r="I1137" s="5" t="e">
        <f t="shared" si="66"/>
        <v>#N/A</v>
      </c>
    </row>
    <row r="1138" spans="3:9" x14ac:dyDescent="0.2">
      <c r="C1138" t="s">
        <v>7</v>
      </c>
      <c r="F1138" s="2" t="e" cm="1">
        <f t="array" ref="F1138">_xlfn.IFS(B1138="Owner Surrender",E1138,B1138="Stray",E1138+6,B1138="Stray w/identification",E1138+11,B1138="Bite",E1138+10,B1138="Other",Blank)</f>
        <v>#N/A</v>
      </c>
      <c r="H1138" s="5">
        <f t="shared" si="65"/>
        <v>0</v>
      </c>
      <c r="I1138" s="5" t="e">
        <f t="shared" si="66"/>
        <v>#N/A</v>
      </c>
    </row>
    <row r="1139" spans="3:9" x14ac:dyDescent="0.2">
      <c r="C1139" t="s">
        <v>7</v>
      </c>
      <c r="F1139" s="2" t="e" cm="1">
        <f t="array" ref="F1139">_xlfn.IFS(B1139="Owner Surrender",E1139,B1139="Stray",E1139+6,B1139="Stray w/identification",E1139+11,B1139="Bite",E1139+10,B1139="Other",Blank)</f>
        <v>#N/A</v>
      </c>
      <c r="H1139" s="5">
        <f t="shared" si="65"/>
        <v>0</v>
      </c>
      <c r="I1139" s="5" t="e">
        <f t="shared" si="66"/>
        <v>#N/A</v>
      </c>
    </row>
    <row r="1140" spans="3:9" x14ac:dyDescent="0.2">
      <c r="C1140" t="s">
        <v>7</v>
      </c>
      <c r="F1140" s="2" t="e" cm="1">
        <f t="array" ref="F1140">_xlfn.IFS(B1140="Owner Surrender",E1140,B1140="Stray",E1140+6,B1140="Stray w/identification",E1140+11,B1140="Bite",E1140+10,B1140="Other",Blank)</f>
        <v>#N/A</v>
      </c>
      <c r="H1140" s="5">
        <f t="shared" si="65"/>
        <v>0</v>
      </c>
      <c r="I1140" s="5" t="e">
        <f t="shared" si="66"/>
        <v>#N/A</v>
      </c>
    </row>
    <row r="1141" spans="3:9" x14ac:dyDescent="0.2">
      <c r="C1141" t="s">
        <v>7</v>
      </c>
      <c r="F1141" s="2" t="e" cm="1">
        <f t="array" ref="F1141">_xlfn.IFS(B1141="Owner Surrender",E1141,B1141="Stray",E1141+6,B1141="Stray w/identification",E1141+11,B1141="Bite",E1141+10,B1141="Other",Blank)</f>
        <v>#N/A</v>
      </c>
      <c r="H1141" s="5">
        <f t="shared" si="65"/>
        <v>0</v>
      </c>
      <c r="I1141" s="5" t="e">
        <f t="shared" si="66"/>
        <v>#N/A</v>
      </c>
    </row>
    <row r="1142" spans="3:9" x14ac:dyDescent="0.2">
      <c r="C1142" t="s">
        <v>7</v>
      </c>
      <c r="F1142" s="2" t="e" cm="1">
        <f t="array" ref="F1142">_xlfn.IFS(B1142="Owner Surrender",E1142,B1142="Stray",E1142+6,B1142="Stray w/identification",E1142+11,B1142="Bite",E1142+10,B1142="Other",Blank)</f>
        <v>#N/A</v>
      </c>
      <c r="H1142" s="5">
        <f t="shared" si="65"/>
        <v>0</v>
      </c>
      <c r="I1142" s="5" t="e">
        <f t="shared" si="66"/>
        <v>#N/A</v>
      </c>
    </row>
    <row r="1143" spans="3:9" x14ac:dyDescent="0.2">
      <c r="C1143" t="s">
        <v>7</v>
      </c>
      <c r="F1143" s="2" t="e" cm="1">
        <f t="array" ref="F1143">_xlfn.IFS(B1143="Owner Surrender",E1143,B1143="Stray",E1143+6,B1143="Stray w/identification",E1143+11,B1143="Bite",E1143+10,B1143="Other",Blank)</f>
        <v>#N/A</v>
      </c>
      <c r="H1143" s="5">
        <f t="shared" si="65"/>
        <v>0</v>
      </c>
      <c r="I1143" s="5" t="e">
        <f t="shared" si="66"/>
        <v>#N/A</v>
      </c>
    </row>
    <row r="1144" spans="3:9" x14ac:dyDescent="0.2">
      <c r="C1144" t="s">
        <v>7</v>
      </c>
      <c r="F1144" s="2" t="e" cm="1">
        <f t="array" ref="F1144">_xlfn.IFS(B1144="Owner Surrender",E1144,B1144="Stray",E1144+6,B1144="Stray w/identification",E1144+11,B1144="Bite",E1144+10,B1144="Other",Blank)</f>
        <v>#N/A</v>
      </c>
      <c r="H1144" s="5">
        <f t="shared" si="65"/>
        <v>0</v>
      </c>
      <c r="I1144" s="5" t="e">
        <f t="shared" si="66"/>
        <v>#N/A</v>
      </c>
    </row>
    <row r="1145" spans="3:9" x14ac:dyDescent="0.2">
      <c r="C1145" t="s">
        <v>7</v>
      </c>
      <c r="F1145" s="2" t="e" cm="1">
        <f t="array" ref="F1145">_xlfn.IFS(B1145="Owner Surrender",E1145,B1145="Stray",E1145+6,B1145="Stray w/identification",E1145+11,B1145="Bite",E1145+10,B1145="Other",Blank)</f>
        <v>#N/A</v>
      </c>
      <c r="H1145" s="5">
        <f t="shared" si="65"/>
        <v>0</v>
      </c>
      <c r="I1145" s="5" t="e">
        <f t="shared" si="66"/>
        <v>#N/A</v>
      </c>
    </row>
    <row r="1146" spans="3:9" x14ac:dyDescent="0.2">
      <c r="C1146" t="s">
        <v>7</v>
      </c>
      <c r="F1146" s="2" t="e" cm="1">
        <f t="array" ref="F1146">_xlfn.IFS(B1146="Owner Surrender",E1146,B1146="Stray",E1146+6,B1146="Stray w/identification",E1146+11,B1146="Bite",E1146+10,B1146="Other",Blank)</f>
        <v>#N/A</v>
      </c>
      <c r="H1146" s="5">
        <f t="shared" si="65"/>
        <v>0</v>
      </c>
      <c r="I1146" s="5" t="e">
        <f t="shared" si="66"/>
        <v>#N/A</v>
      </c>
    </row>
    <row r="1147" spans="3:9" x14ac:dyDescent="0.2">
      <c r="C1147" t="s">
        <v>7</v>
      </c>
      <c r="F1147" s="2" t="e" cm="1">
        <f t="array" ref="F1147">_xlfn.IFS(B1147="Owner Surrender",E1147,B1147="Stray",E1147+6,B1147="Stray w/identification",E1147+11,B1147="Bite",E1147+10,B1147="Other",Blank)</f>
        <v>#N/A</v>
      </c>
      <c r="H1147" s="5">
        <f t="shared" si="65"/>
        <v>0</v>
      </c>
      <c r="I1147" s="5" t="e">
        <f t="shared" si="66"/>
        <v>#N/A</v>
      </c>
    </row>
    <row r="1148" spans="3:9" x14ac:dyDescent="0.2">
      <c r="C1148" t="s">
        <v>7</v>
      </c>
      <c r="F1148" s="2" t="e" cm="1">
        <f t="array" ref="F1148">_xlfn.IFS(B1148="Owner Surrender",E1148,B1148="Stray",E1148+6,B1148="Stray w/identification",E1148+11,B1148="Bite",E1148+10,B1148="Other",Blank)</f>
        <v>#N/A</v>
      </c>
      <c r="H1148" s="5">
        <f t="shared" si="65"/>
        <v>0</v>
      </c>
      <c r="I1148" s="5" t="e">
        <f t="shared" si="66"/>
        <v>#N/A</v>
      </c>
    </row>
    <row r="1149" spans="3:9" x14ac:dyDescent="0.2">
      <c r="C1149" t="s">
        <v>7</v>
      </c>
      <c r="F1149" s="2" t="e" cm="1">
        <f t="array" ref="F1149">_xlfn.IFS(B1149="Owner Surrender",E1149,B1149="Stray",E1149+6,B1149="Stray w/identification",E1149+11,B1149="Bite",E1149+10,B1149="Other",Blank)</f>
        <v>#N/A</v>
      </c>
      <c r="H1149" s="5">
        <f t="shared" si="65"/>
        <v>0</v>
      </c>
      <c r="I1149" s="5" t="e">
        <f t="shared" si="66"/>
        <v>#N/A</v>
      </c>
    </row>
    <row r="1150" spans="3:9" x14ac:dyDescent="0.2">
      <c r="C1150" t="s">
        <v>7</v>
      </c>
      <c r="F1150" s="2" t="e" cm="1">
        <f t="array" ref="F1150">_xlfn.IFS(B1150="Owner Surrender",E1150,B1150="Stray",E1150+6,B1150="Stray w/identification",E1150+11,B1150="Bite",E1150+10,B1150="Other",Blank)</f>
        <v>#N/A</v>
      </c>
      <c r="H1150" s="5">
        <f t="shared" si="65"/>
        <v>0</v>
      </c>
      <c r="I1150" s="5" t="e">
        <f t="shared" si="66"/>
        <v>#N/A</v>
      </c>
    </row>
    <row r="1151" spans="3:9" x14ac:dyDescent="0.2">
      <c r="C1151" t="s">
        <v>7</v>
      </c>
      <c r="F1151" s="2" t="e" cm="1">
        <f t="array" ref="F1151">_xlfn.IFS(B1151="Owner Surrender",E1151,B1151="Stray",E1151+6,B1151="Stray w/identification",E1151+11,B1151="Bite",E1151+10,B1151="Other",Blank)</f>
        <v>#N/A</v>
      </c>
      <c r="H1151" s="5">
        <f t="shared" si="65"/>
        <v>0</v>
      </c>
      <c r="I1151" s="5" t="e">
        <f t="shared" si="66"/>
        <v>#N/A</v>
      </c>
    </row>
    <row r="1152" spans="3:9" x14ac:dyDescent="0.2">
      <c r="C1152" t="s">
        <v>7</v>
      </c>
      <c r="F1152" s="2" t="e" cm="1">
        <f t="array" ref="F1152">_xlfn.IFS(B1152="Owner Surrender",E1152,B1152="Stray",E1152+6,B1152="Stray w/identification",E1152+11,B1152="Bite",E1152+10,B1152="Other",Blank)</f>
        <v>#N/A</v>
      </c>
      <c r="H1152" s="5">
        <f t="shared" si="65"/>
        <v>0</v>
      </c>
      <c r="I1152" s="5" t="e">
        <f t="shared" si="66"/>
        <v>#N/A</v>
      </c>
    </row>
    <row r="1153" spans="3:9" x14ac:dyDescent="0.2">
      <c r="C1153" t="s">
        <v>7</v>
      </c>
      <c r="F1153" s="2" t="e" cm="1">
        <f t="array" ref="F1153">_xlfn.IFS(B1153="Owner Surrender",E1153,B1153="Stray",E1153+6,B1153="Stray w/identification",E1153+11,B1153="Bite",E1153+10,B1153="Other",Blank)</f>
        <v>#N/A</v>
      </c>
      <c r="H1153" s="5">
        <f t="shared" si="65"/>
        <v>0</v>
      </c>
      <c r="I1153" s="5" t="e">
        <f t="shared" si="66"/>
        <v>#N/A</v>
      </c>
    </row>
    <row r="1154" spans="3:9" x14ac:dyDescent="0.2">
      <c r="C1154" t="s">
        <v>7</v>
      </c>
      <c r="F1154" s="2" t="e" cm="1">
        <f t="array" ref="F1154">_xlfn.IFS(B1154="Owner Surrender",E1154,B1154="Stray",E1154+6,B1154="Stray w/identification",E1154+11,B1154="Bite",E1154+10,B1154="Other",Blank)</f>
        <v>#N/A</v>
      </c>
      <c r="H1154" s="5">
        <f t="shared" si="65"/>
        <v>0</v>
      </c>
      <c r="I1154" s="5" t="e">
        <f t="shared" si="66"/>
        <v>#N/A</v>
      </c>
    </row>
    <row r="1155" spans="3:9" x14ac:dyDescent="0.2">
      <c r="C1155" t="s">
        <v>7</v>
      </c>
      <c r="F1155" s="2" t="e" cm="1">
        <f t="array" ref="F1155">_xlfn.IFS(B1155="Owner Surrender",E1155,B1155="Stray",E1155+6,B1155="Stray w/identification",E1155+11,B1155="Bite",E1155+10,B1155="Other",Blank)</f>
        <v>#N/A</v>
      </c>
      <c r="H1155" s="5">
        <f t="shared" si="65"/>
        <v>0</v>
      </c>
      <c r="I1155" s="5" t="e">
        <f t="shared" si="66"/>
        <v>#N/A</v>
      </c>
    </row>
    <row r="1156" spans="3:9" x14ac:dyDescent="0.2">
      <c r="C1156" t="s">
        <v>7</v>
      </c>
      <c r="F1156" s="2" t="e" cm="1">
        <f t="array" ref="F1156">_xlfn.IFS(B1156="Owner Surrender",E1156,B1156="Stray",E1156+6,B1156="Stray w/identification",E1156+11,B1156="Bite",E1156+10,B1156="Other",Blank)</f>
        <v>#N/A</v>
      </c>
      <c r="H1156" s="5">
        <f t="shared" si="65"/>
        <v>0</v>
      </c>
      <c r="I1156" s="5" t="e">
        <f t="shared" si="66"/>
        <v>#N/A</v>
      </c>
    </row>
    <row r="1157" spans="3:9" x14ac:dyDescent="0.2">
      <c r="C1157" t="s">
        <v>7</v>
      </c>
      <c r="F1157" s="2" t="e" cm="1">
        <f t="array" ref="F1157">_xlfn.IFS(B1157="Owner Surrender",E1157,B1157="Stray",E1157+6,B1157="Stray w/identification",E1157+11,B1157="Bite",E1157+10,B1157="Other",Blank)</f>
        <v>#N/A</v>
      </c>
      <c r="H1157" s="5">
        <f t="shared" si="65"/>
        <v>0</v>
      </c>
      <c r="I1157" s="5" t="e">
        <f t="shared" si="66"/>
        <v>#N/A</v>
      </c>
    </row>
    <row r="1158" spans="3:9" x14ac:dyDescent="0.2">
      <c r="C1158" t="s">
        <v>7</v>
      </c>
      <c r="F1158" s="2" t="e" cm="1">
        <f t="array" ref="F1158">_xlfn.IFS(B1158="Owner Surrender",E1158,B1158="Stray",E1158+6,B1158="Stray w/identification",E1158+11,B1158="Bite",E1158+10,B1158="Other",Blank)</f>
        <v>#N/A</v>
      </c>
      <c r="H1158" s="5">
        <f t="shared" si="65"/>
        <v>0</v>
      </c>
      <c r="I1158" s="5" t="e">
        <f t="shared" si="66"/>
        <v>#N/A</v>
      </c>
    </row>
    <row r="1159" spans="3:9" x14ac:dyDescent="0.2">
      <c r="C1159" t="s">
        <v>7</v>
      </c>
      <c r="F1159" s="2" t="e" cm="1">
        <f t="array" ref="F1159">_xlfn.IFS(B1159="Owner Surrender",E1159,B1159="Stray",E1159+6,B1159="Stray w/identification",E1159+11,B1159="Bite",E1159+10,B1159="Other",Blank)</f>
        <v>#N/A</v>
      </c>
      <c r="H1159" s="5">
        <f t="shared" si="65"/>
        <v>0</v>
      </c>
      <c r="I1159" s="5" t="e">
        <f t="shared" si="66"/>
        <v>#N/A</v>
      </c>
    </row>
    <row r="1160" spans="3:9" x14ac:dyDescent="0.2">
      <c r="C1160" t="s">
        <v>7</v>
      </c>
      <c r="F1160" s="2" t="e" cm="1">
        <f t="array" ref="F1160">_xlfn.IFS(B1160="Owner Surrender",E1160,B1160="Stray",E1160+6,B1160="Stray w/identification",E1160+11,B1160="Bite",E1160+10,B1160="Other",Blank)</f>
        <v>#N/A</v>
      </c>
      <c r="H1160" s="5">
        <f t="shared" si="65"/>
        <v>0</v>
      </c>
      <c r="I1160" s="5" t="e">
        <f t="shared" si="66"/>
        <v>#N/A</v>
      </c>
    </row>
    <row r="1161" spans="3:9" x14ac:dyDescent="0.2">
      <c r="C1161" t="s">
        <v>7</v>
      </c>
      <c r="F1161" s="2" t="e" cm="1">
        <f t="array" ref="F1161">_xlfn.IFS(B1161="Owner Surrender",E1161,B1161="Stray",E1161+6,B1161="Stray w/identification",E1161+11,B1161="Bite",E1161+10,B1161="Other",Blank)</f>
        <v>#N/A</v>
      </c>
      <c r="H1161" s="5">
        <f t="shared" si="65"/>
        <v>0</v>
      </c>
      <c r="I1161" s="5" t="e">
        <f t="shared" si="66"/>
        <v>#N/A</v>
      </c>
    </row>
    <row r="1162" spans="3:9" x14ac:dyDescent="0.2">
      <c r="C1162" t="s">
        <v>7</v>
      </c>
      <c r="F1162" s="2" t="e" cm="1">
        <f t="array" ref="F1162">_xlfn.IFS(B1162="Owner Surrender",E1162,B1162="Stray",E1162+6,B1162="Stray w/identification",E1162+11,B1162="Bite",E1162+10,B1162="Other",Blank)</f>
        <v>#N/A</v>
      </c>
      <c r="H1162" s="5">
        <f t="shared" si="65"/>
        <v>0</v>
      </c>
      <c r="I1162" s="5" t="e">
        <f t="shared" si="66"/>
        <v>#N/A</v>
      </c>
    </row>
    <row r="1163" spans="3:9" x14ac:dyDescent="0.2">
      <c r="C1163" t="s">
        <v>7</v>
      </c>
      <c r="F1163" s="2" t="e" cm="1">
        <f t="array" ref="F1163">_xlfn.IFS(B1163="Owner Surrender",E1163,B1163="Stray",E1163+6,B1163="Stray w/identification",E1163+11,B1163="Bite",E1163+10,B1163="Other",Blank)</f>
        <v>#N/A</v>
      </c>
      <c r="H1163" s="5">
        <f t="shared" si="65"/>
        <v>0</v>
      </c>
      <c r="I1163" s="5" t="e">
        <f t="shared" si="66"/>
        <v>#N/A</v>
      </c>
    </row>
    <row r="1164" spans="3:9" x14ac:dyDescent="0.2">
      <c r="C1164" t="s">
        <v>7</v>
      </c>
      <c r="F1164" s="2" t="e" cm="1">
        <f t="array" ref="F1164">_xlfn.IFS(B1164="Owner Surrender",E1164,B1164="Stray",E1164+6,B1164="Stray w/identification",E1164+11,B1164="Bite",E1164+10,B1164="Other",Blank)</f>
        <v>#N/A</v>
      </c>
      <c r="H1164" s="5">
        <f t="shared" si="65"/>
        <v>0</v>
      </c>
      <c r="I1164" s="5" t="e">
        <f t="shared" si="66"/>
        <v>#N/A</v>
      </c>
    </row>
    <row r="1165" spans="3:9" x14ac:dyDescent="0.2">
      <c r="C1165" t="s">
        <v>7</v>
      </c>
      <c r="F1165" s="2" t="e" cm="1">
        <f t="array" ref="F1165">_xlfn.IFS(B1165="Owner Surrender",E1165,B1165="Stray",E1165+6,B1165="Stray w/identification",E1165+11,B1165="Bite",E1165+10,B1165="Other",Blank)</f>
        <v>#N/A</v>
      </c>
      <c r="H1165" s="5">
        <f t="shared" si="65"/>
        <v>0</v>
      </c>
      <c r="I1165" s="5" t="e">
        <f t="shared" si="66"/>
        <v>#N/A</v>
      </c>
    </row>
    <row r="1166" spans="3:9" x14ac:dyDescent="0.2">
      <c r="C1166" t="s">
        <v>7</v>
      </c>
      <c r="F1166" s="2" t="e" cm="1">
        <f t="array" ref="F1166">_xlfn.IFS(B1166="Owner Surrender",E1166,B1166="Stray",E1166+6,B1166="Stray w/identification",E1166+11,B1166="Bite",E1166+10,B1166="Other",Blank)</f>
        <v>#N/A</v>
      </c>
      <c r="H1166" s="5">
        <f t="shared" si="65"/>
        <v>0</v>
      </c>
      <c r="I1166" s="5" t="e">
        <f t="shared" si="66"/>
        <v>#N/A</v>
      </c>
    </row>
    <row r="1167" spans="3:9" x14ac:dyDescent="0.2">
      <c r="C1167" t="s">
        <v>7</v>
      </c>
      <c r="F1167" s="2" t="e" cm="1">
        <f t="array" ref="F1167">_xlfn.IFS(B1167="Owner Surrender",E1167,B1167="Stray",E1167+6,B1167="Stray w/identification",E1167+11,B1167="Bite",E1167+10,B1167="Other",Blank)</f>
        <v>#N/A</v>
      </c>
      <c r="H1167" s="5">
        <f t="shared" si="65"/>
        <v>0</v>
      </c>
      <c r="I1167" s="5" t="e">
        <f t="shared" si="66"/>
        <v>#N/A</v>
      </c>
    </row>
    <row r="1168" spans="3:9" x14ac:dyDescent="0.2">
      <c r="C1168" t="s">
        <v>7</v>
      </c>
      <c r="F1168" s="2" t="e" cm="1">
        <f t="array" ref="F1168">_xlfn.IFS(B1168="Owner Surrender",E1168,B1168="Stray",E1168+6,B1168="Stray w/identification",E1168+11,B1168="Bite",E1168+10,B1168="Other",Blank)</f>
        <v>#N/A</v>
      </c>
      <c r="H1168" s="5">
        <f t="shared" si="65"/>
        <v>0</v>
      </c>
      <c r="I1168" s="5" t="e">
        <f t="shared" si="66"/>
        <v>#N/A</v>
      </c>
    </row>
    <row r="1169" spans="3:9" x14ac:dyDescent="0.2">
      <c r="C1169" t="s">
        <v>7</v>
      </c>
      <c r="F1169" s="2" t="e" cm="1">
        <f t="array" ref="F1169">_xlfn.IFS(B1169="Owner Surrender",E1169,B1169="Stray",E1169+6,B1169="Stray w/identification",E1169+11,B1169="Bite",E1169+10,B1169="Other",Blank)</f>
        <v>#N/A</v>
      </c>
      <c r="H1169" s="5">
        <f t="shared" si="65"/>
        <v>0</v>
      </c>
      <c r="I1169" s="5" t="e">
        <f t="shared" si="66"/>
        <v>#N/A</v>
      </c>
    </row>
    <row r="1170" spans="3:9" x14ac:dyDescent="0.2">
      <c r="C1170" t="s">
        <v>7</v>
      </c>
      <c r="F1170" s="2" t="e" cm="1">
        <f t="array" ref="F1170">_xlfn.IFS(B1170="Owner Surrender",E1170,B1170="Stray",E1170+6,B1170="Stray w/identification",E1170+11,B1170="Bite",E1170+10,B1170="Other",Blank)</f>
        <v>#N/A</v>
      </c>
      <c r="H1170" s="5">
        <f t="shared" si="65"/>
        <v>0</v>
      </c>
      <c r="I1170" s="5" t="e">
        <f t="shared" si="66"/>
        <v>#N/A</v>
      </c>
    </row>
    <row r="1171" spans="3:9" x14ac:dyDescent="0.2">
      <c r="C1171" t="s">
        <v>7</v>
      </c>
      <c r="F1171" s="2" t="e" cm="1">
        <f t="array" ref="F1171">_xlfn.IFS(B1171="Owner Surrender",E1171,B1171="Stray",E1171+6,B1171="Stray w/identification",E1171+11,B1171="Bite",E1171+10,B1171="Other",Blank)</f>
        <v>#N/A</v>
      </c>
      <c r="H1171" s="5">
        <f t="shared" si="65"/>
        <v>0</v>
      </c>
      <c r="I1171" s="5" t="e">
        <f t="shared" si="66"/>
        <v>#N/A</v>
      </c>
    </row>
    <row r="1172" spans="3:9" x14ac:dyDescent="0.2">
      <c r="C1172" t="s">
        <v>7</v>
      </c>
      <c r="F1172" s="2" t="e" cm="1">
        <f t="array" ref="F1172">_xlfn.IFS(B1172="Owner Surrender",E1172,B1172="Stray",E1172+6,B1172="Stray w/identification",E1172+11,B1172="Bite",E1172+10,B1172="Other",Blank)</f>
        <v>#N/A</v>
      </c>
      <c r="H1172" s="5">
        <f t="shared" si="65"/>
        <v>0</v>
      </c>
      <c r="I1172" s="5" t="e">
        <f t="shared" si="66"/>
        <v>#N/A</v>
      </c>
    </row>
    <row r="1173" spans="3:9" x14ac:dyDescent="0.2">
      <c r="C1173" t="s">
        <v>7</v>
      </c>
      <c r="F1173" s="2" t="e" cm="1">
        <f t="array" ref="F1173">_xlfn.IFS(B1173="Owner Surrender",E1173,B1173="Stray",E1173+6,B1173="Stray w/identification",E1173+11,B1173="Bite",E1173+10,B1173="Other",Blank)</f>
        <v>#N/A</v>
      </c>
      <c r="H1173" s="5">
        <f t="shared" si="65"/>
        <v>0</v>
      </c>
      <c r="I1173" s="5" t="e">
        <f t="shared" si="66"/>
        <v>#N/A</v>
      </c>
    </row>
    <row r="1174" spans="3:9" x14ac:dyDescent="0.2">
      <c r="C1174" t="s">
        <v>7</v>
      </c>
      <c r="F1174" s="2" t="e" cm="1">
        <f t="array" ref="F1174">_xlfn.IFS(B1174="Owner Surrender",E1174,B1174="Stray",E1174+6,B1174="Stray w/identification",E1174+11,B1174="Bite",E1174+10,B1174="Other",Blank)</f>
        <v>#N/A</v>
      </c>
      <c r="H1174" s="5">
        <f t="shared" si="65"/>
        <v>0</v>
      </c>
      <c r="I1174" s="5" t="e">
        <f t="shared" si="66"/>
        <v>#N/A</v>
      </c>
    </row>
    <row r="1175" spans="3:9" x14ac:dyDescent="0.2">
      <c r="C1175" t="s">
        <v>7</v>
      </c>
      <c r="F1175" s="2" t="e" cm="1">
        <f t="array" ref="F1175">_xlfn.IFS(B1175="Owner Surrender",E1175,B1175="Stray",E1175+6,B1175="Stray w/identification",E1175+11,B1175="Bite",E1175+10,B1175="Other",Blank)</f>
        <v>#N/A</v>
      </c>
      <c r="H1175" s="5">
        <f t="shared" si="65"/>
        <v>0</v>
      </c>
      <c r="I1175" s="5" t="e">
        <f t="shared" si="66"/>
        <v>#N/A</v>
      </c>
    </row>
    <row r="1176" spans="3:9" x14ac:dyDescent="0.2">
      <c r="C1176" t="s">
        <v>7</v>
      </c>
      <c r="F1176" s="2" t="e" cm="1">
        <f t="array" ref="F1176">_xlfn.IFS(B1176="Owner Surrender",E1176,B1176="Stray",E1176+6,B1176="Stray w/identification",E1176+11,B1176="Bite",E1176+10,B1176="Other",Blank)</f>
        <v>#N/A</v>
      </c>
      <c r="H1176" s="5">
        <f t="shared" si="65"/>
        <v>0</v>
      </c>
      <c r="I1176" s="5" t="e">
        <f t="shared" si="66"/>
        <v>#N/A</v>
      </c>
    </row>
    <row r="1177" spans="3:9" x14ac:dyDescent="0.2">
      <c r="C1177" t="s">
        <v>7</v>
      </c>
      <c r="F1177" s="2" t="e" cm="1">
        <f t="array" ref="F1177">_xlfn.IFS(B1177="Owner Surrender",E1177,B1177="Stray",E1177+6,B1177="Stray w/identification",E1177+11,B1177="Bite",E1177+10,B1177="Other",Blank)</f>
        <v>#N/A</v>
      </c>
      <c r="H1177" s="5">
        <f t="shared" si="65"/>
        <v>0</v>
      </c>
      <c r="I1177" s="5" t="e">
        <f t="shared" si="66"/>
        <v>#N/A</v>
      </c>
    </row>
    <row r="1178" spans="3:9" x14ac:dyDescent="0.2">
      <c r="C1178" t="s">
        <v>7</v>
      </c>
      <c r="F1178" s="2" t="e" cm="1">
        <f t="array" ref="F1178">_xlfn.IFS(B1178="Owner Surrender",E1178,B1178="Stray",E1178+6,B1178="Stray w/identification",E1178+11,B1178="Bite",E1178+10,B1178="Other",Blank)</f>
        <v>#N/A</v>
      </c>
      <c r="H1178" s="5">
        <f t="shared" ref="H1178:H1241" si="67">+G1178-E1178</f>
        <v>0</v>
      </c>
      <c r="I1178" s="5" t="e">
        <f t="shared" ref="I1178:I1241" si="68">G1178-F1178</f>
        <v>#N/A</v>
      </c>
    </row>
    <row r="1179" spans="3:9" x14ac:dyDescent="0.2">
      <c r="C1179" t="s">
        <v>7</v>
      </c>
      <c r="F1179" s="2" t="e" cm="1">
        <f t="array" ref="F1179">_xlfn.IFS(B1179="Owner Surrender",E1179,B1179="Stray",E1179+6,B1179="Stray w/identification",E1179+11,B1179="Bite",E1179+10,B1179="Other",Blank)</f>
        <v>#N/A</v>
      </c>
      <c r="H1179" s="5">
        <f t="shared" si="67"/>
        <v>0</v>
      </c>
      <c r="I1179" s="5" t="e">
        <f t="shared" si="68"/>
        <v>#N/A</v>
      </c>
    </row>
    <row r="1180" spans="3:9" x14ac:dyDescent="0.2">
      <c r="C1180" t="s">
        <v>7</v>
      </c>
      <c r="F1180" s="2" t="e" cm="1">
        <f t="array" ref="F1180">_xlfn.IFS(B1180="Owner Surrender",E1180,B1180="Stray",E1180+6,B1180="Stray w/identification",E1180+11,B1180="Bite",E1180+10,B1180="Other",Blank)</f>
        <v>#N/A</v>
      </c>
      <c r="H1180" s="5">
        <f t="shared" si="67"/>
        <v>0</v>
      </c>
      <c r="I1180" s="5" t="e">
        <f t="shared" si="68"/>
        <v>#N/A</v>
      </c>
    </row>
    <row r="1181" spans="3:9" x14ac:dyDescent="0.2">
      <c r="C1181" t="s">
        <v>7</v>
      </c>
      <c r="F1181" s="2" t="e" cm="1">
        <f t="array" ref="F1181">_xlfn.IFS(B1181="Owner Surrender",E1181,B1181="Stray",E1181+6,B1181="Stray w/identification",E1181+11,B1181="Bite",E1181+10,B1181="Other",Blank)</f>
        <v>#N/A</v>
      </c>
      <c r="H1181" s="5">
        <f t="shared" si="67"/>
        <v>0</v>
      </c>
      <c r="I1181" s="5" t="e">
        <f t="shared" si="68"/>
        <v>#N/A</v>
      </c>
    </row>
    <row r="1182" spans="3:9" x14ac:dyDescent="0.2">
      <c r="C1182" t="s">
        <v>7</v>
      </c>
      <c r="F1182" s="2" t="e" cm="1">
        <f t="array" ref="F1182">_xlfn.IFS(B1182="Owner Surrender",E1182,B1182="Stray",E1182+6,B1182="Stray w/identification",E1182+11,B1182="Bite",E1182+10,B1182="Other",Blank)</f>
        <v>#N/A</v>
      </c>
      <c r="H1182" s="5">
        <f t="shared" si="67"/>
        <v>0</v>
      </c>
      <c r="I1182" s="5" t="e">
        <f t="shared" si="68"/>
        <v>#N/A</v>
      </c>
    </row>
    <row r="1183" spans="3:9" x14ac:dyDescent="0.2">
      <c r="C1183" t="s">
        <v>7</v>
      </c>
      <c r="F1183" s="2" t="e" cm="1">
        <f t="array" ref="F1183">_xlfn.IFS(B1183="Owner Surrender",E1183,B1183="Stray",E1183+6,B1183="Stray w/identification",E1183+11,B1183="Bite",E1183+10,B1183="Other",Blank)</f>
        <v>#N/A</v>
      </c>
      <c r="H1183" s="5">
        <f t="shared" si="67"/>
        <v>0</v>
      </c>
      <c r="I1183" s="5" t="e">
        <f t="shared" si="68"/>
        <v>#N/A</v>
      </c>
    </row>
    <row r="1184" spans="3:9" x14ac:dyDescent="0.2">
      <c r="C1184" t="s">
        <v>7</v>
      </c>
      <c r="F1184" s="2" t="e" cm="1">
        <f t="array" ref="F1184">_xlfn.IFS(B1184="Owner Surrender",E1184,B1184="Stray",E1184+6,B1184="Stray w/identification",E1184+11,B1184="Bite",E1184+10,B1184="Other",Blank)</f>
        <v>#N/A</v>
      </c>
      <c r="H1184" s="5">
        <f t="shared" si="67"/>
        <v>0</v>
      </c>
      <c r="I1184" s="5" t="e">
        <f t="shared" si="68"/>
        <v>#N/A</v>
      </c>
    </row>
    <row r="1185" spans="3:9" x14ac:dyDescent="0.2">
      <c r="C1185" t="s">
        <v>7</v>
      </c>
      <c r="F1185" s="2" t="e" cm="1">
        <f t="array" ref="F1185">_xlfn.IFS(B1185="Owner Surrender",E1185,B1185="Stray",E1185+6,B1185="Stray w/identification",E1185+11,B1185="Bite",E1185+10,B1185="Other",Blank)</f>
        <v>#N/A</v>
      </c>
      <c r="H1185" s="5">
        <f t="shared" si="67"/>
        <v>0</v>
      </c>
      <c r="I1185" s="5" t="e">
        <f t="shared" si="68"/>
        <v>#N/A</v>
      </c>
    </row>
    <row r="1186" spans="3:9" x14ac:dyDescent="0.2">
      <c r="C1186" t="s">
        <v>7</v>
      </c>
      <c r="F1186" s="2" t="e" cm="1">
        <f t="array" ref="F1186">_xlfn.IFS(B1186="Owner Surrender",E1186,B1186="Stray",E1186+6,B1186="Stray w/identification",E1186+11,B1186="Bite",E1186+10,B1186="Other",Blank)</f>
        <v>#N/A</v>
      </c>
      <c r="H1186" s="5">
        <f t="shared" si="67"/>
        <v>0</v>
      </c>
      <c r="I1186" s="5" t="e">
        <f t="shared" si="68"/>
        <v>#N/A</v>
      </c>
    </row>
    <row r="1187" spans="3:9" x14ac:dyDescent="0.2">
      <c r="C1187" t="s">
        <v>7</v>
      </c>
      <c r="F1187" s="2" t="e" cm="1">
        <f t="array" ref="F1187">_xlfn.IFS(B1187="Owner Surrender",E1187,B1187="Stray",E1187+6,B1187="Stray w/identification",E1187+11,B1187="Bite",E1187+10,B1187="Other",Blank)</f>
        <v>#N/A</v>
      </c>
      <c r="H1187" s="5">
        <f t="shared" si="67"/>
        <v>0</v>
      </c>
      <c r="I1187" s="5" t="e">
        <f t="shared" si="68"/>
        <v>#N/A</v>
      </c>
    </row>
    <row r="1188" spans="3:9" x14ac:dyDescent="0.2">
      <c r="C1188" t="s">
        <v>7</v>
      </c>
      <c r="F1188" s="2" t="e" cm="1">
        <f t="array" ref="F1188">_xlfn.IFS(B1188="Owner Surrender",E1188,B1188="Stray",E1188+6,B1188="Stray w/identification",E1188+11,B1188="Bite",E1188+10,B1188="Other",Blank)</f>
        <v>#N/A</v>
      </c>
      <c r="H1188" s="5">
        <f t="shared" si="67"/>
        <v>0</v>
      </c>
      <c r="I1188" s="5" t="e">
        <f t="shared" si="68"/>
        <v>#N/A</v>
      </c>
    </row>
    <row r="1189" spans="3:9" x14ac:dyDescent="0.2">
      <c r="C1189" t="s">
        <v>7</v>
      </c>
      <c r="F1189" s="2" t="e" cm="1">
        <f t="array" ref="F1189">_xlfn.IFS(B1189="Owner Surrender",E1189,B1189="Stray",E1189+6,B1189="Stray w/identification",E1189+11,B1189="Bite",E1189+10,B1189="Other",Blank)</f>
        <v>#N/A</v>
      </c>
      <c r="H1189" s="5">
        <f t="shared" si="67"/>
        <v>0</v>
      </c>
      <c r="I1189" s="5" t="e">
        <f t="shared" si="68"/>
        <v>#N/A</v>
      </c>
    </row>
    <row r="1190" spans="3:9" x14ac:dyDescent="0.2">
      <c r="C1190" t="s">
        <v>7</v>
      </c>
      <c r="F1190" s="2" t="e" cm="1">
        <f t="array" ref="F1190">_xlfn.IFS(B1190="Owner Surrender",E1190,B1190="Stray",E1190+6,B1190="Stray w/identification",E1190+11,B1190="Bite",E1190+10,B1190="Other",Blank)</f>
        <v>#N/A</v>
      </c>
      <c r="H1190" s="5">
        <f t="shared" si="67"/>
        <v>0</v>
      </c>
      <c r="I1190" s="5" t="e">
        <f t="shared" si="68"/>
        <v>#N/A</v>
      </c>
    </row>
    <row r="1191" spans="3:9" x14ac:dyDescent="0.2">
      <c r="C1191" t="s">
        <v>7</v>
      </c>
      <c r="F1191" s="2" t="e" cm="1">
        <f t="array" ref="F1191">_xlfn.IFS(B1191="Owner Surrender",E1191,B1191="Stray",E1191+6,B1191="Stray w/identification",E1191+11,B1191="Bite",E1191+10,B1191="Other",Blank)</f>
        <v>#N/A</v>
      </c>
      <c r="H1191" s="5">
        <f t="shared" si="67"/>
        <v>0</v>
      </c>
      <c r="I1191" s="5" t="e">
        <f t="shared" si="68"/>
        <v>#N/A</v>
      </c>
    </row>
    <row r="1192" spans="3:9" x14ac:dyDescent="0.2">
      <c r="C1192" t="s">
        <v>7</v>
      </c>
      <c r="F1192" s="2" t="e" cm="1">
        <f t="array" ref="F1192">_xlfn.IFS(B1192="Owner Surrender",E1192,B1192="Stray",E1192+6,B1192="Stray w/identification",E1192+11,B1192="Bite",E1192+10,B1192="Other",Blank)</f>
        <v>#N/A</v>
      </c>
      <c r="H1192" s="5">
        <f t="shared" si="67"/>
        <v>0</v>
      </c>
      <c r="I1192" s="5" t="e">
        <f t="shared" si="68"/>
        <v>#N/A</v>
      </c>
    </row>
    <row r="1193" spans="3:9" x14ac:dyDescent="0.2">
      <c r="C1193" t="s">
        <v>7</v>
      </c>
      <c r="F1193" s="2" t="e" cm="1">
        <f t="array" ref="F1193">_xlfn.IFS(B1193="Owner Surrender",E1193,B1193="Stray",E1193+6,B1193="Stray w/identification",E1193+11,B1193="Bite",E1193+10,B1193="Other",Blank)</f>
        <v>#N/A</v>
      </c>
      <c r="H1193" s="5">
        <f t="shared" si="67"/>
        <v>0</v>
      </c>
      <c r="I1193" s="5" t="e">
        <f t="shared" si="68"/>
        <v>#N/A</v>
      </c>
    </row>
    <row r="1194" spans="3:9" x14ac:dyDescent="0.2">
      <c r="C1194" t="s">
        <v>7</v>
      </c>
      <c r="F1194" s="2" t="e" cm="1">
        <f t="array" ref="F1194">_xlfn.IFS(B1194="Owner Surrender",E1194,B1194="Stray",E1194+6,B1194="Stray w/identification",E1194+11,B1194="Bite",E1194+10,B1194="Other",Blank)</f>
        <v>#N/A</v>
      </c>
      <c r="H1194" s="5">
        <f t="shared" si="67"/>
        <v>0</v>
      </c>
      <c r="I1194" s="5" t="e">
        <f t="shared" si="68"/>
        <v>#N/A</v>
      </c>
    </row>
    <row r="1195" spans="3:9" x14ac:dyDescent="0.2">
      <c r="C1195" t="s">
        <v>7</v>
      </c>
      <c r="F1195" s="2" t="e" cm="1">
        <f t="array" ref="F1195">_xlfn.IFS(B1195="Owner Surrender",E1195,B1195="Stray",E1195+6,B1195="Stray w/identification",E1195+11,B1195="Bite",E1195+10,B1195="Other",Blank)</f>
        <v>#N/A</v>
      </c>
      <c r="H1195" s="5">
        <f t="shared" si="67"/>
        <v>0</v>
      </c>
      <c r="I1195" s="5" t="e">
        <f t="shared" si="68"/>
        <v>#N/A</v>
      </c>
    </row>
    <row r="1196" spans="3:9" x14ac:dyDescent="0.2">
      <c r="C1196" t="s">
        <v>7</v>
      </c>
      <c r="F1196" s="2" t="e" cm="1">
        <f t="array" ref="F1196">_xlfn.IFS(B1196="Owner Surrender",E1196,B1196="Stray",E1196+6,B1196="Stray w/identification",E1196+11,B1196="Bite",E1196+10,B1196="Other",Blank)</f>
        <v>#N/A</v>
      </c>
      <c r="H1196" s="5">
        <f t="shared" si="67"/>
        <v>0</v>
      </c>
      <c r="I1196" s="5" t="e">
        <f t="shared" si="68"/>
        <v>#N/A</v>
      </c>
    </row>
    <row r="1197" spans="3:9" x14ac:dyDescent="0.2">
      <c r="C1197" t="s">
        <v>7</v>
      </c>
      <c r="F1197" s="2" t="e" cm="1">
        <f t="array" ref="F1197">_xlfn.IFS(B1197="Owner Surrender",E1197,B1197="Stray",E1197+6,B1197="Stray w/identification",E1197+11,B1197="Bite",E1197+10,B1197="Other",Blank)</f>
        <v>#N/A</v>
      </c>
      <c r="H1197" s="5">
        <f t="shared" si="67"/>
        <v>0</v>
      </c>
      <c r="I1197" s="5" t="e">
        <f t="shared" si="68"/>
        <v>#N/A</v>
      </c>
    </row>
    <row r="1198" spans="3:9" x14ac:dyDescent="0.2">
      <c r="C1198" t="s">
        <v>7</v>
      </c>
      <c r="F1198" s="2" t="e" cm="1">
        <f t="array" ref="F1198">_xlfn.IFS(B1198="Owner Surrender",E1198,B1198="Stray",E1198+6,B1198="Stray w/identification",E1198+11,B1198="Bite",E1198+10,B1198="Other",Blank)</f>
        <v>#N/A</v>
      </c>
      <c r="H1198" s="5">
        <f t="shared" si="67"/>
        <v>0</v>
      </c>
      <c r="I1198" s="5" t="e">
        <f t="shared" si="68"/>
        <v>#N/A</v>
      </c>
    </row>
    <row r="1199" spans="3:9" x14ac:dyDescent="0.2">
      <c r="C1199" t="s">
        <v>7</v>
      </c>
      <c r="F1199" s="2" t="e" cm="1">
        <f t="array" ref="F1199">_xlfn.IFS(B1199="Owner Surrender",E1199,B1199="Stray",E1199+6,B1199="Stray w/identification",E1199+11,B1199="Bite",E1199+10,B1199="Other",Blank)</f>
        <v>#N/A</v>
      </c>
      <c r="H1199" s="5">
        <f t="shared" si="67"/>
        <v>0</v>
      </c>
      <c r="I1199" s="5" t="e">
        <f t="shared" si="68"/>
        <v>#N/A</v>
      </c>
    </row>
    <row r="1200" spans="3:9" x14ac:dyDescent="0.2">
      <c r="C1200" t="s">
        <v>7</v>
      </c>
      <c r="F1200" s="2" t="e" cm="1">
        <f t="array" ref="F1200">_xlfn.IFS(B1200="Owner Surrender",E1200,B1200="Stray",E1200+6,B1200="Stray w/identification",E1200+11,B1200="Bite",E1200+10,B1200="Other",Blank)</f>
        <v>#N/A</v>
      </c>
      <c r="H1200" s="5">
        <f t="shared" si="67"/>
        <v>0</v>
      </c>
      <c r="I1200" s="5" t="e">
        <f t="shared" si="68"/>
        <v>#N/A</v>
      </c>
    </row>
    <row r="1201" spans="3:9" x14ac:dyDescent="0.2">
      <c r="C1201" t="s">
        <v>7</v>
      </c>
      <c r="F1201" s="2" t="e" cm="1">
        <f t="array" ref="F1201">_xlfn.IFS(B1201="Owner Surrender",E1201,B1201="Stray",E1201+6,B1201="Stray w/identification",E1201+11,B1201="Bite",E1201+10,B1201="Other",Blank)</f>
        <v>#N/A</v>
      </c>
      <c r="H1201" s="5">
        <f t="shared" si="67"/>
        <v>0</v>
      </c>
      <c r="I1201" s="5" t="e">
        <f t="shared" si="68"/>
        <v>#N/A</v>
      </c>
    </row>
    <row r="1202" spans="3:9" x14ac:dyDescent="0.2">
      <c r="C1202" t="s">
        <v>7</v>
      </c>
      <c r="F1202" s="2" t="e" cm="1">
        <f t="array" ref="F1202">_xlfn.IFS(B1202="Owner Surrender",E1202,B1202="Stray",E1202+6,B1202="Stray w/identification",E1202+11,B1202="Bite",E1202+10,B1202="Other",Blank)</f>
        <v>#N/A</v>
      </c>
      <c r="H1202" s="5">
        <f t="shared" si="67"/>
        <v>0</v>
      </c>
      <c r="I1202" s="5" t="e">
        <f t="shared" si="68"/>
        <v>#N/A</v>
      </c>
    </row>
    <row r="1203" spans="3:9" x14ac:dyDescent="0.2">
      <c r="C1203" t="s">
        <v>7</v>
      </c>
      <c r="F1203" s="2" t="e" cm="1">
        <f t="array" ref="F1203">_xlfn.IFS(B1203="Owner Surrender",E1203,B1203="Stray",E1203+6,B1203="Stray w/identification",E1203+11,B1203="Bite",E1203+10,B1203="Other",Blank)</f>
        <v>#N/A</v>
      </c>
      <c r="H1203" s="5">
        <f t="shared" si="67"/>
        <v>0</v>
      </c>
      <c r="I1203" s="5" t="e">
        <f t="shared" si="68"/>
        <v>#N/A</v>
      </c>
    </row>
    <row r="1204" spans="3:9" x14ac:dyDescent="0.2">
      <c r="C1204" t="s">
        <v>7</v>
      </c>
      <c r="F1204" s="2" t="e" cm="1">
        <f t="array" ref="F1204">_xlfn.IFS(B1204="Owner Surrender",E1204,B1204="Stray",E1204+6,B1204="Stray w/identification",E1204+11,B1204="Bite",E1204+10,B1204="Other",Blank)</f>
        <v>#N/A</v>
      </c>
      <c r="H1204" s="5">
        <f t="shared" si="67"/>
        <v>0</v>
      </c>
      <c r="I1204" s="5" t="e">
        <f t="shared" si="68"/>
        <v>#N/A</v>
      </c>
    </row>
    <row r="1205" spans="3:9" x14ac:dyDescent="0.2">
      <c r="C1205" t="s">
        <v>7</v>
      </c>
      <c r="F1205" s="2" t="e" cm="1">
        <f t="array" ref="F1205">_xlfn.IFS(B1205="Owner Surrender",E1205,B1205="Stray",E1205+6,B1205="Stray w/identification",E1205+11,B1205="Bite",E1205+10,B1205="Other",Blank)</f>
        <v>#N/A</v>
      </c>
      <c r="H1205" s="5">
        <f t="shared" si="67"/>
        <v>0</v>
      </c>
      <c r="I1205" s="5" t="e">
        <f t="shared" si="68"/>
        <v>#N/A</v>
      </c>
    </row>
    <row r="1206" spans="3:9" x14ac:dyDescent="0.2">
      <c r="C1206" t="s">
        <v>7</v>
      </c>
      <c r="F1206" s="2" t="e" cm="1">
        <f t="array" ref="F1206">_xlfn.IFS(B1206="Owner Surrender",E1206,B1206="Stray",E1206+6,B1206="Stray w/identification",E1206+11,B1206="Bite",E1206+10,B1206="Other",Blank)</f>
        <v>#N/A</v>
      </c>
      <c r="H1206" s="5">
        <f t="shared" si="67"/>
        <v>0</v>
      </c>
      <c r="I1206" s="5" t="e">
        <f t="shared" si="68"/>
        <v>#N/A</v>
      </c>
    </row>
    <row r="1207" spans="3:9" x14ac:dyDescent="0.2">
      <c r="C1207" t="s">
        <v>7</v>
      </c>
      <c r="F1207" s="2" t="e" cm="1">
        <f t="array" ref="F1207">_xlfn.IFS(B1207="Owner Surrender",E1207,B1207="Stray",E1207+6,B1207="Stray w/identification",E1207+11,B1207="Bite",E1207+10,B1207="Other",Blank)</f>
        <v>#N/A</v>
      </c>
      <c r="H1207" s="5">
        <f t="shared" si="67"/>
        <v>0</v>
      </c>
      <c r="I1207" s="5" t="e">
        <f t="shared" si="68"/>
        <v>#N/A</v>
      </c>
    </row>
    <row r="1208" spans="3:9" x14ac:dyDescent="0.2">
      <c r="C1208" t="s">
        <v>7</v>
      </c>
      <c r="F1208" s="2" t="e" cm="1">
        <f t="array" ref="F1208">_xlfn.IFS(B1208="Owner Surrender",E1208,B1208="Stray",E1208+6,B1208="Stray w/identification",E1208+11,B1208="Bite",E1208+10,B1208="Other",Blank)</f>
        <v>#N/A</v>
      </c>
      <c r="H1208" s="5">
        <f t="shared" si="67"/>
        <v>0</v>
      </c>
      <c r="I1208" s="5" t="e">
        <f t="shared" si="68"/>
        <v>#N/A</v>
      </c>
    </row>
    <row r="1209" spans="3:9" x14ac:dyDescent="0.2">
      <c r="C1209" t="s">
        <v>7</v>
      </c>
      <c r="F1209" s="2" t="e" cm="1">
        <f t="array" ref="F1209">_xlfn.IFS(B1209="Owner Surrender",E1209,B1209="Stray",E1209+6,B1209="Stray w/identification",E1209+11,B1209="Bite",E1209+10,B1209="Other",Blank)</f>
        <v>#N/A</v>
      </c>
      <c r="H1209" s="5">
        <f t="shared" si="67"/>
        <v>0</v>
      </c>
      <c r="I1209" s="5" t="e">
        <f t="shared" si="68"/>
        <v>#N/A</v>
      </c>
    </row>
    <row r="1210" spans="3:9" x14ac:dyDescent="0.2">
      <c r="C1210" t="s">
        <v>7</v>
      </c>
      <c r="F1210" s="2" t="e" cm="1">
        <f t="array" ref="F1210">_xlfn.IFS(B1210="Owner Surrender",E1210,B1210="Stray",E1210+6,B1210="Stray w/identification",E1210+11,B1210="Bite",E1210+10,B1210="Other",Blank)</f>
        <v>#N/A</v>
      </c>
      <c r="H1210" s="5">
        <f t="shared" si="67"/>
        <v>0</v>
      </c>
      <c r="I1210" s="5" t="e">
        <f t="shared" si="68"/>
        <v>#N/A</v>
      </c>
    </row>
    <row r="1211" spans="3:9" x14ac:dyDescent="0.2">
      <c r="C1211" t="s">
        <v>7</v>
      </c>
      <c r="F1211" s="2" t="e" cm="1">
        <f t="array" ref="F1211">_xlfn.IFS(B1211="Owner Surrender",E1211,B1211="Stray",E1211+6,B1211="Stray w/identification",E1211+11,B1211="Bite",E1211+10,B1211="Other",Blank)</f>
        <v>#N/A</v>
      </c>
      <c r="H1211" s="5">
        <f t="shared" si="67"/>
        <v>0</v>
      </c>
      <c r="I1211" s="5" t="e">
        <f t="shared" si="68"/>
        <v>#N/A</v>
      </c>
    </row>
    <row r="1212" spans="3:9" x14ac:dyDescent="0.2">
      <c r="C1212" t="s">
        <v>7</v>
      </c>
      <c r="F1212" s="2" t="e" cm="1">
        <f t="array" ref="F1212">_xlfn.IFS(B1212="Owner Surrender",E1212,B1212="Stray",E1212+6,B1212="Stray w/identification",E1212+11,B1212="Bite",E1212+10,B1212="Other",Blank)</f>
        <v>#N/A</v>
      </c>
      <c r="H1212" s="5">
        <f t="shared" si="67"/>
        <v>0</v>
      </c>
      <c r="I1212" s="5" t="e">
        <f t="shared" si="68"/>
        <v>#N/A</v>
      </c>
    </row>
    <row r="1213" spans="3:9" x14ac:dyDescent="0.2">
      <c r="C1213" t="s">
        <v>7</v>
      </c>
      <c r="F1213" s="2" t="e" cm="1">
        <f t="array" ref="F1213">_xlfn.IFS(B1213="Owner Surrender",E1213,B1213="Stray",E1213+6,B1213="Stray w/identification",E1213+11,B1213="Bite",E1213+10,B1213="Other",Blank)</f>
        <v>#N/A</v>
      </c>
      <c r="H1213" s="5">
        <f t="shared" si="67"/>
        <v>0</v>
      </c>
      <c r="I1213" s="5" t="e">
        <f t="shared" si="68"/>
        <v>#N/A</v>
      </c>
    </row>
    <row r="1214" spans="3:9" x14ac:dyDescent="0.2">
      <c r="C1214" t="s">
        <v>7</v>
      </c>
      <c r="F1214" s="2" t="e" cm="1">
        <f t="array" ref="F1214">_xlfn.IFS(B1214="Owner Surrender",E1214,B1214="Stray",E1214+6,B1214="Stray w/identification",E1214+11,B1214="Bite",E1214+10,B1214="Other",Blank)</f>
        <v>#N/A</v>
      </c>
      <c r="H1214" s="5">
        <f t="shared" si="67"/>
        <v>0</v>
      </c>
      <c r="I1214" s="5" t="e">
        <f t="shared" si="68"/>
        <v>#N/A</v>
      </c>
    </row>
    <row r="1215" spans="3:9" x14ac:dyDescent="0.2">
      <c r="C1215" t="s">
        <v>7</v>
      </c>
      <c r="F1215" s="2" t="e" cm="1">
        <f t="array" ref="F1215">_xlfn.IFS(B1215="Owner Surrender",E1215,B1215="Stray",E1215+6,B1215="Stray w/identification",E1215+11,B1215="Bite",E1215+10,B1215="Other",Blank)</f>
        <v>#N/A</v>
      </c>
      <c r="H1215" s="5">
        <f t="shared" si="67"/>
        <v>0</v>
      </c>
      <c r="I1215" s="5" t="e">
        <f t="shared" si="68"/>
        <v>#N/A</v>
      </c>
    </row>
    <row r="1216" spans="3:9" x14ac:dyDescent="0.2">
      <c r="C1216" t="s">
        <v>7</v>
      </c>
      <c r="F1216" s="2" t="e" cm="1">
        <f t="array" ref="F1216">_xlfn.IFS(B1216="Owner Surrender",E1216,B1216="Stray",E1216+6,B1216="Stray w/identification",E1216+11,B1216="Bite",E1216+10,B1216="Other",Blank)</f>
        <v>#N/A</v>
      </c>
      <c r="H1216" s="5">
        <f t="shared" si="67"/>
        <v>0</v>
      </c>
      <c r="I1216" s="5" t="e">
        <f t="shared" si="68"/>
        <v>#N/A</v>
      </c>
    </row>
    <row r="1217" spans="3:9" x14ac:dyDescent="0.2">
      <c r="C1217" t="s">
        <v>7</v>
      </c>
      <c r="F1217" s="2" t="e" cm="1">
        <f t="array" ref="F1217">_xlfn.IFS(B1217="Owner Surrender",E1217,B1217="Stray",E1217+6,B1217="Stray w/identification",E1217+11,B1217="Bite",E1217+10,B1217="Other",Blank)</f>
        <v>#N/A</v>
      </c>
      <c r="H1217" s="5">
        <f t="shared" si="67"/>
        <v>0</v>
      </c>
      <c r="I1217" s="5" t="e">
        <f t="shared" si="68"/>
        <v>#N/A</v>
      </c>
    </row>
    <row r="1218" spans="3:9" x14ac:dyDescent="0.2">
      <c r="C1218" t="s">
        <v>7</v>
      </c>
      <c r="F1218" s="2" t="e" cm="1">
        <f t="array" ref="F1218">_xlfn.IFS(B1218="Owner Surrender",E1218,B1218="Stray",E1218+6,B1218="Stray w/identification",E1218+11,B1218="Bite",E1218+10,B1218="Other",Blank)</f>
        <v>#N/A</v>
      </c>
      <c r="H1218" s="5">
        <f t="shared" si="67"/>
        <v>0</v>
      </c>
      <c r="I1218" s="5" t="e">
        <f t="shared" si="68"/>
        <v>#N/A</v>
      </c>
    </row>
    <row r="1219" spans="3:9" x14ac:dyDescent="0.2">
      <c r="C1219" t="s">
        <v>7</v>
      </c>
      <c r="F1219" s="2" t="e" cm="1">
        <f t="array" ref="F1219">_xlfn.IFS(B1219="Owner Surrender",E1219,B1219="Stray",E1219+6,B1219="Stray w/identification",E1219+11,B1219="Bite",E1219+10,B1219="Other",Blank)</f>
        <v>#N/A</v>
      </c>
      <c r="H1219" s="5">
        <f t="shared" si="67"/>
        <v>0</v>
      </c>
      <c r="I1219" s="5" t="e">
        <f t="shared" si="68"/>
        <v>#N/A</v>
      </c>
    </row>
    <row r="1220" spans="3:9" x14ac:dyDescent="0.2">
      <c r="C1220" t="s">
        <v>7</v>
      </c>
      <c r="F1220" s="2" t="e" cm="1">
        <f t="array" ref="F1220">_xlfn.IFS(B1220="Owner Surrender",E1220,B1220="Stray",E1220+6,B1220="Stray w/identification",E1220+11,B1220="Bite",E1220+10,B1220="Other",Blank)</f>
        <v>#N/A</v>
      </c>
      <c r="H1220" s="5">
        <f t="shared" si="67"/>
        <v>0</v>
      </c>
      <c r="I1220" s="5" t="e">
        <f t="shared" si="68"/>
        <v>#N/A</v>
      </c>
    </row>
    <row r="1221" spans="3:9" x14ac:dyDescent="0.2">
      <c r="C1221" t="s">
        <v>7</v>
      </c>
      <c r="F1221" s="2" t="e" cm="1">
        <f t="array" ref="F1221">_xlfn.IFS(B1221="Owner Surrender",E1221,B1221="Stray",E1221+6,B1221="Stray w/identification",E1221+11,B1221="Bite",E1221+10,B1221="Other",Blank)</f>
        <v>#N/A</v>
      </c>
      <c r="H1221" s="5">
        <f t="shared" si="67"/>
        <v>0</v>
      </c>
      <c r="I1221" s="5" t="e">
        <f t="shared" si="68"/>
        <v>#N/A</v>
      </c>
    </row>
    <row r="1222" spans="3:9" x14ac:dyDescent="0.2">
      <c r="C1222" t="s">
        <v>7</v>
      </c>
      <c r="F1222" s="2" t="e" cm="1">
        <f t="array" ref="F1222">_xlfn.IFS(B1222="Owner Surrender",E1222,B1222="Stray",E1222+6,B1222="Stray w/identification",E1222+11,B1222="Bite",E1222+10,B1222="Other",Blank)</f>
        <v>#N/A</v>
      </c>
      <c r="H1222" s="5">
        <f t="shared" si="67"/>
        <v>0</v>
      </c>
      <c r="I1222" s="5" t="e">
        <f t="shared" si="68"/>
        <v>#N/A</v>
      </c>
    </row>
    <row r="1223" spans="3:9" x14ac:dyDescent="0.2">
      <c r="C1223" t="s">
        <v>7</v>
      </c>
      <c r="F1223" s="2" t="e" cm="1">
        <f t="array" ref="F1223">_xlfn.IFS(B1223="Owner Surrender",E1223,B1223="Stray",E1223+6,B1223="Stray w/identification",E1223+11,B1223="Bite",E1223+10,B1223="Other",Blank)</f>
        <v>#N/A</v>
      </c>
      <c r="H1223" s="5">
        <f t="shared" si="67"/>
        <v>0</v>
      </c>
      <c r="I1223" s="5" t="e">
        <f t="shared" si="68"/>
        <v>#N/A</v>
      </c>
    </row>
    <row r="1224" spans="3:9" x14ac:dyDescent="0.2">
      <c r="C1224" t="s">
        <v>7</v>
      </c>
      <c r="F1224" s="2" t="e" cm="1">
        <f t="array" ref="F1224">_xlfn.IFS(B1224="Owner Surrender",E1224,B1224="Stray",E1224+6,B1224="Stray w/identification",E1224+11,B1224="Bite",E1224+10,B1224="Other",Blank)</f>
        <v>#N/A</v>
      </c>
      <c r="H1224" s="5">
        <f t="shared" si="67"/>
        <v>0</v>
      </c>
      <c r="I1224" s="5" t="e">
        <f t="shared" si="68"/>
        <v>#N/A</v>
      </c>
    </row>
    <row r="1225" spans="3:9" x14ac:dyDescent="0.2">
      <c r="C1225" t="s">
        <v>7</v>
      </c>
      <c r="F1225" s="2" t="e" cm="1">
        <f t="array" ref="F1225">_xlfn.IFS(B1225="Owner Surrender",E1225,B1225="Stray",E1225+6,B1225="Stray w/identification",E1225+11,B1225="Bite",E1225+10,B1225="Other",Blank)</f>
        <v>#N/A</v>
      </c>
      <c r="H1225" s="5">
        <f t="shared" si="67"/>
        <v>0</v>
      </c>
      <c r="I1225" s="5" t="e">
        <f t="shared" si="68"/>
        <v>#N/A</v>
      </c>
    </row>
    <row r="1226" spans="3:9" x14ac:dyDescent="0.2">
      <c r="C1226" t="s">
        <v>7</v>
      </c>
      <c r="F1226" s="2" t="e" cm="1">
        <f t="array" ref="F1226">_xlfn.IFS(B1226="Owner Surrender",E1226,B1226="Stray",E1226+6,B1226="Stray w/identification",E1226+11,B1226="Bite",E1226+10,B1226="Other",Blank)</f>
        <v>#N/A</v>
      </c>
      <c r="H1226" s="5">
        <f t="shared" si="67"/>
        <v>0</v>
      </c>
      <c r="I1226" s="5" t="e">
        <f t="shared" si="68"/>
        <v>#N/A</v>
      </c>
    </row>
    <row r="1227" spans="3:9" x14ac:dyDescent="0.2">
      <c r="C1227" t="s">
        <v>7</v>
      </c>
      <c r="F1227" s="2" t="e" cm="1">
        <f t="array" ref="F1227">_xlfn.IFS(B1227="Owner Surrender",E1227,B1227="Stray",E1227+6,B1227="Stray w/identification",E1227+11,B1227="Bite",E1227+10,B1227="Other",Blank)</f>
        <v>#N/A</v>
      </c>
      <c r="H1227" s="5">
        <f t="shared" si="67"/>
        <v>0</v>
      </c>
      <c r="I1227" s="5" t="e">
        <f t="shared" si="68"/>
        <v>#N/A</v>
      </c>
    </row>
    <row r="1228" spans="3:9" x14ac:dyDescent="0.2">
      <c r="C1228" t="s">
        <v>7</v>
      </c>
      <c r="F1228" s="2" t="e" cm="1">
        <f t="array" ref="F1228">_xlfn.IFS(B1228="Owner Surrender",E1228,B1228="Stray",E1228+6,B1228="Stray w/identification",E1228+11,B1228="Bite",E1228+10,B1228="Other",Blank)</f>
        <v>#N/A</v>
      </c>
      <c r="H1228" s="5">
        <f t="shared" si="67"/>
        <v>0</v>
      </c>
      <c r="I1228" s="5" t="e">
        <f t="shared" si="68"/>
        <v>#N/A</v>
      </c>
    </row>
    <row r="1229" spans="3:9" x14ac:dyDescent="0.2">
      <c r="C1229" t="s">
        <v>7</v>
      </c>
      <c r="F1229" s="2" t="e" cm="1">
        <f t="array" ref="F1229">_xlfn.IFS(B1229="Owner Surrender",E1229,B1229="Stray",E1229+6,B1229="Stray w/identification",E1229+11,B1229="Bite",E1229+10,B1229="Other",Blank)</f>
        <v>#N/A</v>
      </c>
      <c r="H1229" s="5">
        <f t="shared" si="67"/>
        <v>0</v>
      </c>
      <c r="I1229" s="5" t="e">
        <f t="shared" si="68"/>
        <v>#N/A</v>
      </c>
    </row>
    <row r="1230" spans="3:9" x14ac:dyDescent="0.2">
      <c r="C1230" t="s">
        <v>7</v>
      </c>
      <c r="F1230" s="2" t="e" cm="1">
        <f t="array" ref="F1230">_xlfn.IFS(B1230="Owner Surrender",E1230,B1230="Stray",E1230+6,B1230="Stray w/identification",E1230+11,B1230="Bite",E1230+10,B1230="Other",Blank)</f>
        <v>#N/A</v>
      </c>
      <c r="H1230" s="5">
        <f t="shared" si="67"/>
        <v>0</v>
      </c>
      <c r="I1230" s="5" t="e">
        <f t="shared" si="68"/>
        <v>#N/A</v>
      </c>
    </row>
    <row r="1231" spans="3:9" x14ac:dyDescent="0.2">
      <c r="C1231" t="s">
        <v>7</v>
      </c>
      <c r="F1231" s="2" t="e" cm="1">
        <f t="array" ref="F1231">_xlfn.IFS(B1231="Owner Surrender",E1231,B1231="Stray",E1231+6,B1231="Stray w/identification",E1231+11,B1231="Bite",E1231+10,B1231="Other",Blank)</f>
        <v>#N/A</v>
      </c>
      <c r="H1231" s="5">
        <f t="shared" si="67"/>
        <v>0</v>
      </c>
      <c r="I1231" s="5" t="e">
        <f t="shared" si="68"/>
        <v>#N/A</v>
      </c>
    </row>
    <row r="1232" spans="3:9" x14ac:dyDescent="0.2">
      <c r="C1232" t="s">
        <v>7</v>
      </c>
      <c r="F1232" s="2" t="e" cm="1">
        <f t="array" ref="F1232">_xlfn.IFS(B1232="Owner Surrender",E1232,B1232="Stray",E1232+6,B1232="Stray w/identification",E1232+11,B1232="Bite",E1232+10,B1232="Other",Blank)</f>
        <v>#N/A</v>
      </c>
      <c r="H1232" s="5">
        <f t="shared" si="67"/>
        <v>0</v>
      </c>
      <c r="I1232" s="5" t="e">
        <f t="shared" si="68"/>
        <v>#N/A</v>
      </c>
    </row>
    <row r="1233" spans="3:9" x14ac:dyDescent="0.2">
      <c r="C1233" t="s">
        <v>7</v>
      </c>
      <c r="F1233" s="2" t="e" cm="1">
        <f t="array" ref="F1233">_xlfn.IFS(B1233="Owner Surrender",E1233,B1233="Stray",E1233+6,B1233="Stray w/identification",E1233+11,B1233="Bite",E1233+10,B1233="Other",Blank)</f>
        <v>#N/A</v>
      </c>
      <c r="H1233" s="5">
        <f t="shared" si="67"/>
        <v>0</v>
      </c>
      <c r="I1233" s="5" t="e">
        <f t="shared" si="68"/>
        <v>#N/A</v>
      </c>
    </row>
    <row r="1234" spans="3:9" x14ac:dyDescent="0.2">
      <c r="C1234" t="s">
        <v>7</v>
      </c>
      <c r="F1234" s="2" t="e" cm="1">
        <f t="array" ref="F1234">_xlfn.IFS(B1234="Owner Surrender",E1234,B1234="Stray",E1234+6,B1234="Stray w/identification",E1234+11,B1234="Bite",E1234+10,B1234="Other",Blank)</f>
        <v>#N/A</v>
      </c>
      <c r="H1234" s="5">
        <f t="shared" si="67"/>
        <v>0</v>
      </c>
      <c r="I1234" s="5" t="e">
        <f t="shared" si="68"/>
        <v>#N/A</v>
      </c>
    </row>
    <row r="1235" spans="3:9" x14ac:dyDescent="0.2">
      <c r="C1235" t="s">
        <v>7</v>
      </c>
      <c r="F1235" s="2" t="e" cm="1">
        <f t="array" ref="F1235">_xlfn.IFS(B1235="Owner Surrender",E1235,B1235="Stray",E1235+6,B1235="Stray w/identification",E1235+11,B1235="Bite",E1235+10,B1235="Other",Blank)</f>
        <v>#N/A</v>
      </c>
      <c r="H1235" s="5">
        <f t="shared" si="67"/>
        <v>0</v>
      </c>
      <c r="I1235" s="5" t="e">
        <f t="shared" si="68"/>
        <v>#N/A</v>
      </c>
    </row>
    <row r="1236" spans="3:9" x14ac:dyDescent="0.2">
      <c r="C1236" t="s">
        <v>7</v>
      </c>
      <c r="F1236" s="2" t="e" cm="1">
        <f t="array" ref="F1236">_xlfn.IFS(B1236="Owner Surrender",E1236,B1236="Stray",E1236+6,B1236="Stray w/identification",E1236+11,B1236="Bite",E1236+10,B1236="Other",Blank)</f>
        <v>#N/A</v>
      </c>
      <c r="H1236" s="5">
        <f t="shared" si="67"/>
        <v>0</v>
      </c>
      <c r="I1236" s="5" t="e">
        <f t="shared" si="68"/>
        <v>#N/A</v>
      </c>
    </row>
    <row r="1237" spans="3:9" x14ac:dyDescent="0.2">
      <c r="C1237" t="s">
        <v>7</v>
      </c>
      <c r="F1237" s="2" t="e" cm="1">
        <f t="array" ref="F1237">_xlfn.IFS(B1237="Owner Surrender",E1237,B1237="Stray",E1237+6,B1237="Stray w/identification",E1237+11,B1237="Bite",E1237+10,B1237="Other",Blank)</f>
        <v>#N/A</v>
      </c>
      <c r="H1237" s="5">
        <f t="shared" si="67"/>
        <v>0</v>
      </c>
      <c r="I1237" s="5" t="e">
        <f t="shared" si="68"/>
        <v>#N/A</v>
      </c>
    </row>
    <row r="1238" spans="3:9" x14ac:dyDescent="0.2">
      <c r="C1238" t="s">
        <v>7</v>
      </c>
      <c r="F1238" s="2" t="e" cm="1">
        <f t="array" ref="F1238">_xlfn.IFS(B1238="Owner Surrender",E1238,B1238="Stray",E1238+6,B1238="Stray w/identification",E1238+11,B1238="Bite",E1238+10,B1238="Other",Blank)</f>
        <v>#N/A</v>
      </c>
      <c r="H1238" s="5">
        <f t="shared" si="67"/>
        <v>0</v>
      </c>
      <c r="I1238" s="5" t="e">
        <f t="shared" si="68"/>
        <v>#N/A</v>
      </c>
    </row>
    <row r="1239" spans="3:9" x14ac:dyDescent="0.2">
      <c r="C1239" t="s">
        <v>7</v>
      </c>
      <c r="F1239" s="2" t="e" cm="1">
        <f t="array" ref="F1239">_xlfn.IFS(B1239="Owner Surrender",E1239,B1239="Stray",E1239+6,B1239="Stray w/identification",E1239+11,B1239="Bite",E1239+10,B1239="Other",Blank)</f>
        <v>#N/A</v>
      </c>
      <c r="H1239" s="5">
        <f t="shared" si="67"/>
        <v>0</v>
      </c>
      <c r="I1239" s="5" t="e">
        <f t="shared" si="68"/>
        <v>#N/A</v>
      </c>
    </row>
    <row r="1240" spans="3:9" x14ac:dyDescent="0.2">
      <c r="C1240" t="s">
        <v>7</v>
      </c>
      <c r="F1240" s="2" t="e" cm="1">
        <f t="array" ref="F1240">_xlfn.IFS(B1240="Owner Surrender",E1240,B1240="Stray",E1240+6,B1240="Stray w/identification",E1240+11,B1240="Bite",E1240+10,B1240="Other",Blank)</f>
        <v>#N/A</v>
      </c>
      <c r="H1240" s="5">
        <f t="shared" si="67"/>
        <v>0</v>
      </c>
      <c r="I1240" s="5" t="e">
        <f t="shared" si="68"/>
        <v>#N/A</v>
      </c>
    </row>
    <row r="1241" spans="3:9" x14ac:dyDescent="0.2">
      <c r="C1241" t="s">
        <v>7</v>
      </c>
      <c r="F1241" s="2" t="e" cm="1">
        <f t="array" ref="F1241">_xlfn.IFS(B1241="Owner Surrender",E1241,B1241="Stray",E1241+6,B1241="Stray w/identification",E1241+11,B1241="Bite",E1241+10,B1241="Other",Blank)</f>
        <v>#N/A</v>
      </c>
      <c r="H1241" s="5">
        <f t="shared" si="67"/>
        <v>0</v>
      </c>
      <c r="I1241" s="5" t="e">
        <f t="shared" si="68"/>
        <v>#N/A</v>
      </c>
    </row>
    <row r="1242" spans="3:9" x14ac:dyDescent="0.2">
      <c r="C1242" t="s">
        <v>7</v>
      </c>
      <c r="F1242" s="2" t="e" cm="1">
        <f t="array" ref="F1242">_xlfn.IFS(B1242="Owner Surrender",E1242,B1242="Stray",E1242+6,B1242="Stray w/identification",E1242+11,B1242="Bite",E1242+10,B1242="Other",Blank)</f>
        <v>#N/A</v>
      </c>
      <c r="H1242" s="5">
        <f t="shared" ref="H1242:H1305" si="69">+G1242-E1242</f>
        <v>0</v>
      </c>
      <c r="I1242" s="5" t="e">
        <f t="shared" ref="I1242:I1305" si="70">G1242-F1242</f>
        <v>#N/A</v>
      </c>
    </row>
    <row r="1243" spans="3:9" x14ac:dyDescent="0.2">
      <c r="C1243" t="s">
        <v>7</v>
      </c>
      <c r="F1243" s="2" t="e" cm="1">
        <f t="array" ref="F1243">_xlfn.IFS(B1243="Owner Surrender",E1243,B1243="Stray",E1243+6,B1243="Stray w/identification",E1243+11,B1243="Bite",E1243+10,B1243="Other",Blank)</f>
        <v>#N/A</v>
      </c>
      <c r="H1243" s="5">
        <f t="shared" si="69"/>
        <v>0</v>
      </c>
      <c r="I1243" s="5" t="e">
        <f t="shared" si="70"/>
        <v>#N/A</v>
      </c>
    </row>
    <row r="1244" spans="3:9" x14ac:dyDescent="0.2">
      <c r="C1244" t="s">
        <v>7</v>
      </c>
      <c r="F1244" s="2" t="e" cm="1">
        <f t="array" ref="F1244">_xlfn.IFS(B1244="Owner Surrender",E1244,B1244="Stray",E1244+6,B1244="Stray w/identification",E1244+11,B1244="Bite",E1244+10,B1244="Other",Blank)</f>
        <v>#N/A</v>
      </c>
      <c r="H1244" s="5">
        <f t="shared" si="69"/>
        <v>0</v>
      </c>
      <c r="I1244" s="5" t="e">
        <f t="shared" si="70"/>
        <v>#N/A</v>
      </c>
    </row>
    <row r="1245" spans="3:9" x14ac:dyDescent="0.2">
      <c r="C1245" t="s">
        <v>7</v>
      </c>
      <c r="F1245" s="2" t="e" cm="1">
        <f t="array" ref="F1245">_xlfn.IFS(B1245="Owner Surrender",E1245,B1245="Stray",E1245+6,B1245="Stray w/identification",E1245+11,B1245="Bite",E1245+10,B1245="Other",Blank)</f>
        <v>#N/A</v>
      </c>
      <c r="H1245" s="5">
        <f t="shared" si="69"/>
        <v>0</v>
      </c>
      <c r="I1245" s="5" t="e">
        <f t="shared" si="70"/>
        <v>#N/A</v>
      </c>
    </row>
    <row r="1246" spans="3:9" x14ac:dyDescent="0.2">
      <c r="C1246" t="s">
        <v>7</v>
      </c>
      <c r="F1246" s="2" t="e" cm="1">
        <f t="array" ref="F1246">_xlfn.IFS(B1246="Owner Surrender",E1246,B1246="Stray",E1246+6,B1246="Stray w/identification",E1246+11,B1246="Bite",E1246+10,B1246="Other",Blank)</f>
        <v>#N/A</v>
      </c>
      <c r="H1246" s="5">
        <f t="shared" si="69"/>
        <v>0</v>
      </c>
      <c r="I1246" s="5" t="e">
        <f t="shared" si="70"/>
        <v>#N/A</v>
      </c>
    </row>
    <row r="1247" spans="3:9" x14ac:dyDescent="0.2">
      <c r="C1247" t="s">
        <v>7</v>
      </c>
      <c r="F1247" s="2" t="e" cm="1">
        <f t="array" ref="F1247">_xlfn.IFS(B1247="Owner Surrender",E1247,B1247="Stray",E1247+6,B1247="Stray w/identification",E1247+11,B1247="Bite",E1247+10,B1247="Other",Blank)</f>
        <v>#N/A</v>
      </c>
      <c r="H1247" s="5">
        <f t="shared" si="69"/>
        <v>0</v>
      </c>
      <c r="I1247" s="5" t="e">
        <f t="shared" si="70"/>
        <v>#N/A</v>
      </c>
    </row>
    <row r="1248" spans="3:9" x14ac:dyDescent="0.2">
      <c r="C1248" t="s">
        <v>7</v>
      </c>
      <c r="F1248" s="2" t="e" cm="1">
        <f t="array" ref="F1248">_xlfn.IFS(B1248="Owner Surrender",E1248,B1248="Stray",E1248+6,B1248="Stray w/identification",E1248+11,B1248="Bite",E1248+10,B1248="Other",Blank)</f>
        <v>#N/A</v>
      </c>
      <c r="H1248" s="5">
        <f t="shared" si="69"/>
        <v>0</v>
      </c>
      <c r="I1248" s="5" t="e">
        <f t="shared" si="70"/>
        <v>#N/A</v>
      </c>
    </row>
    <row r="1249" spans="3:9" x14ac:dyDescent="0.2">
      <c r="C1249" t="s">
        <v>7</v>
      </c>
      <c r="F1249" s="2" t="e" cm="1">
        <f t="array" ref="F1249">_xlfn.IFS(B1249="Owner Surrender",E1249,B1249="Stray",E1249+6,B1249="Stray w/identification",E1249+11,B1249="Bite",E1249+10,B1249="Other",Blank)</f>
        <v>#N/A</v>
      </c>
      <c r="H1249" s="5">
        <f t="shared" si="69"/>
        <v>0</v>
      </c>
      <c r="I1249" s="5" t="e">
        <f t="shared" si="70"/>
        <v>#N/A</v>
      </c>
    </row>
    <row r="1250" spans="3:9" x14ac:dyDescent="0.2">
      <c r="C1250" t="s">
        <v>7</v>
      </c>
      <c r="F1250" s="2" t="e" cm="1">
        <f t="array" ref="F1250">_xlfn.IFS(B1250="Owner Surrender",E1250,B1250="Stray",E1250+6,B1250="Stray w/identification",E1250+11,B1250="Bite",E1250+10,B1250="Other",Blank)</f>
        <v>#N/A</v>
      </c>
      <c r="H1250" s="5">
        <f t="shared" si="69"/>
        <v>0</v>
      </c>
      <c r="I1250" s="5" t="e">
        <f t="shared" si="70"/>
        <v>#N/A</v>
      </c>
    </row>
    <row r="1251" spans="3:9" x14ac:dyDescent="0.2">
      <c r="C1251" t="s">
        <v>7</v>
      </c>
      <c r="F1251" s="2" t="e" cm="1">
        <f t="array" ref="F1251">_xlfn.IFS(B1251="Owner Surrender",E1251,B1251="Stray",E1251+6,B1251="Stray w/identification",E1251+11,B1251="Bite",E1251+10,B1251="Other",Blank)</f>
        <v>#N/A</v>
      </c>
      <c r="H1251" s="5">
        <f t="shared" si="69"/>
        <v>0</v>
      </c>
      <c r="I1251" s="5" t="e">
        <f t="shared" si="70"/>
        <v>#N/A</v>
      </c>
    </row>
    <row r="1252" spans="3:9" x14ac:dyDescent="0.2">
      <c r="C1252" t="s">
        <v>7</v>
      </c>
      <c r="F1252" s="2" t="e" cm="1">
        <f t="array" ref="F1252">_xlfn.IFS(B1252="Owner Surrender",E1252,B1252="Stray",E1252+6,B1252="Stray w/identification",E1252+11,B1252="Bite",E1252+10,B1252="Other",Blank)</f>
        <v>#N/A</v>
      </c>
      <c r="H1252" s="5">
        <f t="shared" si="69"/>
        <v>0</v>
      </c>
      <c r="I1252" s="5" t="e">
        <f t="shared" si="70"/>
        <v>#N/A</v>
      </c>
    </row>
    <row r="1253" spans="3:9" x14ac:dyDescent="0.2">
      <c r="C1253" t="s">
        <v>7</v>
      </c>
      <c r="F1253" s="2" t="e" cm="1">
        <f t="array" ref="F1253">_xlfn.IFS(B1253="Owner Surrender",E1253,B1253="Stray",E1253+6,B1253="Stray w/identification",E1253+11,B1253="Bite",E1253+10,B1253="Other",Blank)</f>
        <v>#N/A</v>
      </c>
      <c r="H1253" s="5">
        <f t="shared" si="69"/>
        <v>0</v>
      </c>
      <c r="I1253" s="5" t="e">
        <f t="shared" si="70"/>
        <v>#N/A</v>
      </c>
    </row>
    <row r="1254" spans="3:9" x14ac:dyDescent="0.2">
      <c r="C1254" t="s">
        <v>7</v>
      </c>
      <c r="F1254" s="2" t="e" cm="1">
        <f t="array" ref="F1254">_xlfn.IFS(B1254="Owner Surrender",E1254,B1254="Stray",E1254+6,B1254="Stray w/identification",E1254+11,B1254="Bite",E1254+10,B1254="Other",Blank)</f>
        <v>#N/A</v>
      </c>
      <c r="H1254" s="5">
        <f t="shared" si="69"/>
        <v>0</v>
      </c>
      <c r="I1254" s="5" t="e">
        <f t="shared" si="70"/>
        <v>#N/A</v>
      </c>
    </row>
    <row r="1255" spans="3:9" x14ac:dyDescent="0.2">
      <c r="C1255" t="s">
        <v>7</v>
      </c>
      <c r="F1255" s="2" t="e" cm="1">
        <f t="array" ref="F1255">_xlfn.IFS(B1255="Owner Surrender",E1255,B1255="Stray",E1255+6,B1255="Stray w/identification",E1255+11,B1255="Bite",E1255+10,B1255="Other",Blank)</f>
        <v>#N/A</v>
      </c>
      <c r="H1255" s="5">
        <f t="shared" si="69"/>
        <v>0</v>
      </c>
      <c r="I1255" s="5" t="e">
        <f t="shared" si="70"/>
        <v>#N/A</v>
      </c>
    </row>
    <row r="1256" spans="3:9" x14ac:dyDescent="0.2">
      <c r="C1256" t="s">
        <v>7</v>
      </c>
      <c r="F1256" s="2" t="e" cm="1">
        <f t="array" ref="F1256">_xlfn.IFS(B1256="Owner Surrender",E1256,B1256="Stray",E1256+6,B1256="Stray w/identification",E1256+11,B1256="Bite",E1256+10,B1256="Other",Blank)</f>
        <v>#N/A</v>
      </c>
      <c r="H1256" s="5">
        <f t="shared" si="69"/>
        <v>0</v>
      </c>
      <c r="I1256" s="5" t="e">
        <f t="shared" si="70"/>
        <v>#N/A</v>
      </c>
    </row>
    <row r="1257" spans="3:9" x14ac:dyDescent="0.2">
      <c r="C1257" t="s">
        <v>7</v>
      </c>
      <c r="F1257" s="2" t="e" cm="1">
        <f t="array" ref="F1257">_xlfn.IFS(B1257="Owner Surrender",E1257,B1257="Stray",E1257+6,B1257="Stray w/identification",E1257+11,B1257="Bite",E1257+10,B1257="Other",Blank)</f>
        <v>#N/A</v>
      </c>
      <c r="H1257" s="5">
        <f t="shared" si="69"/>
        <v>0</v>
      </c>
      <c r="I1257" s="5" t="e">
        <f t="shared" si="70"/>
        <v>#N/A</v>
      </c>
    </row>
    <row r="1258" spans="3:9" x14ac:dyDescent="0.2">
      <c r="C1258" t="s">
        <v>7</v>
      </c>
      <c r="F1258" s="2" t="e" cm="1">
        <f t="array" ref="F1258">_xlfn.IFS(B1258="Owner Surrender",E1258,B1258="Stray",E1258+6,B1258="Stray w/identification",E1258+11,B1258="Bite",E1258+10,B1258="Other",Blank)</f>
        <v>#N/A</v>
      </c>
      <c r="H1258" s="5">
        <f t="shared" si="69"/>
        <v>0</v>
      </c>
      <c r="I1258" s="5" t="e">
        <f t="shared" si="70"/>
        <v>#N/A</v>
      </c>
    </row>
    <row r="1259" spans="3:9" x14ac:dyDescent="0.2">
      <c r="C1259" t="s">
        <v>7</v>
      </c>
      <c r="F1259" s="2" t="e" cm="1">
        <f t="array" ref="F1259">_xlfn.IFS(B1259="Owner Surrender",E1259,B1259="Stray",E1259+6,B1259="Stray w/identification",E1259+11,B1259="Bite",E1259+10,B1259="Other",Blank)</f>
        <v>#N/A</v>
      </c>
      <c r="H1259" s="5">
        <f t="shared" si="69"/>
        <v>0</v>
      </c>
      <c r="I1259" s="5" t="e">
        <f t="shared" si="70"/>
        <v>#N/A</v>
      </c>
    </row>
    <row r="1260" spans="3:9" x14ac:dyDescent="0.2">
      <c r="C1260" t="s">
        <v>7</v>
      </c>
      <c r="F1260" s="2" t="e" cm="1">
        <f t="array" ref="F1260">_xlfn.IFS(B1260="Owner Surrender",E1260,B1260="Stray",E1260+6,B1260="Stray w/identification",E1260+11,B1260="Bite",E1260+10,B1260="Other",Blank)</f>
        <v>#N/A</v>
      </c>
      <c r="H1260" s="5">
        <f t="shared" si="69"/>
        <v>0</v>
      </c>
      <c r="I1260" s="5" t="e">
        <f t="shared" si="70"/>
        <v>#N/A</v>
      </c>
    </row>
    <row r="1261" spans="3:9" x14ac:dyDescent="0.2">
      <c r="C1261" t="s">
        <v>7</v>
      </c>
      <c r="F1261" s="2" t="e" cm="1">
        <f t="array" ref="F1261">_xlfn.IFS(B1261="Owner Surrender",E1261,B1261="Stray",E1261+6,B1261="Stray w/identification",E1261+11,B1261="Bite",E1261+10,B1261="Other",Blank)</f>
        <v>#N/A</v>
      </c>
      <c r="H1261" s="5">
        <f t="shared" si="69"/>
        <v>0</v>
      </c>
      <c r="I1261" s="5" t="e">
        <f t="shared" si="70"/>
        <v>#N/A</v>
      </c>
    </row>
    <row r="1262" spans="3:9" x14ac:dyDescent="0.2">
      <c r="C1262" t="s">
        <v>7</v>
      </c>
      <c r="F1262" s="2" t="e" cm="1">
        <f t="array" ref="F1262">_xlfn.IFS(B1262="Owner Surrender",E1262,B1262="Stray",E1262+6,B1262="Stray w/identification",E1262+11,B1262="Bite",E1262+10,B1262="Other",Blank)</f>
        <v>#N/A</v>
      </c>
      <c r="H1262" s="5">
        <f t="shared" si="69"/>
        <v>0</v>
      </c>
      <c r="I1262" s="5" t="e">
        <f t="shared" si="70"/>
        <v>#N/A</v>
      </c>
    </row>
    <row r="1263" spans="3:9" x14ac:dyDescent="0.2">
      <c r="C1263" t="s">
        <v>7</v>
      </c>
      <c r="F1263" s="2" t="e" cm="1">
        <f t="array" ref="F1263">_xlfn.IFS(B1263="Owner Surrender",E1263,B1263="Stray",E1263+6,B1263="Stray w/identification",E1263+11,B1263="Bite",E1263+10,B1263="Other",Blank)</f>
        <v>#N/A</v>
      </c>
      <c r="H1263" s="5">
        <f t="shared" si="69"/>
        <v>0</v>
      </c>
      <c r="I1263" s="5" t="e">
        <f t="shared" si="70"/>
        <v>#N/A</v>
      </c>
    </row>
    <row r="1264" spans="3:9" x14ac:dyDescent="0.2">
      <c r="C1264" t="s">
        <v>7</v>
      </c>
      <c r="F1264" s="2" t="e" cm="1">
        <f t="array" ref="F1264">_xlfn.IFS(B1264="Owner Surrender",E1264,B1264="Stray",E1264+6,B1264="Stray w/identification",E1264+11,B1264="Bite",E1264+10,B1264="Other",Blank)</f>
        <v>#N/A</v>
      </c>
      <c r="H1264" s="5">
        <f t="shared" si="69"/>
        <v>0</v>
      </c>
      <c r="I1264" s="5" t="e">
        <f t="shared" si="70"/>
        <v>#N/A</v>
      </c>
    </row>
    <row r="1265" spans="3:9" x14ac:dyDescent="0.2">
      <c r="C1265" t="s">
        <v>7</v>
      </c>
      <c r="F1265" s="2" t="e" cm="1">
        <f t="array" ref="F1265">_xlfn.IFS(B1265="Owner Surrender",E1265,B1265="Stray",E1265+6,B1265="Stray w/identification",E1265+11,B1265="Bite",E1265+10,B1265="Other",Blank)</f>
        <v>#N/A</v>
      </c>
      <c r="H1265" s="5">
        <f t="shared" si="69"/>
        <v>0</v>
      </c>
      <c r="I1265" s="5" t="e">
        <f t="shared" si="70"/>
        <v>#N/A</v>
      </c>
    </row>
    <row r="1266" spans="3:9" x14ac:dyDescent="0.2">
      <c r="C1266" t="s">
        <v>7</v>
      </c>
      <c r="F1266" s="2" t="e" cm="1">
        <f t="array" ref="F1266">_xlfn.IFS(B1266="Owner Surrender",E1266,B1266="Stray",E1266+6,B1266="Stray w/identification",E1266+11,B1266="Bite",E1266+10,B1266="Other",Blank)</f>
        <v>#N/A</v>
      </c>
      <c r="H1266" s="5">
        <f t="shared" si="69"/>
        <v>0</v>
      </c>
      <c r="I1266" s="5" t="e">
        <f t="shared" si="70"/>
        <v>#N/A</v>
      </c>
    </row>
    <row r="1267" spans="3:9" x14ac:dyDescent="0.2">
      <c r="C1267" t="s">
        <v>7</v>
      </c>
      <c r="F1267" s="2" t="e" cm="1">
        <f t="array" ref="F1267">_xlfn.IFS(B1267="Owner Surrender",E1267,B1267="Stray",E1267+6,B1267="Stray w/identification",E1267+11,B1267="Bite",E1267+10,B1267="Other",Blank)</f>
        <v>#N/A</v>
      </c>
      <c r="H1267" s="5">
        <f t="shared" si="69"/>
        <v>0</v>
      </c>
      <c r="I1267" s="5" t="e">
        <f t="shared" si="70"/>
        <v>#N/A</v>
      </c>
    </row>
    <row r="1268" spans="3:9" x14ac:dyDescent="0.2">
      <c r="C1268" t="s">
        <v>7</v>
      </c>
      <c r="F1268" s="2" t="e" cm="1">
        <f t="array" ref="F1268">_xlfn.IFS(B1268="Owner Surrender",E1268,B1268="Stray",E1268+6,B1268="Stray w/identification",E1268+11,B1268="Bite",E1268+10,B1268="Other",Blank)</f>
        <v>#N/A</v>
      </c>
      <c r="H1268" s="5">
        <f t="shared" si="69"/>
        <v>0</v>
      </c>
      <c r="I1268" s="5" t="e">
        <f t="shared" si="70"/>
        <v>#N/A</v>
      </c>
    </row>
    <row r="1269" spans="3:9" x14ac:dyDescent="0.2">
      <c r="C1269" t="s">
        <v>7</v>
      </c>
      <c r="F1269" s="2" t="e" cm="1">
        <f t="array" ref="F1269">_xlfn.IFS(B1269="Owner Surrender",E1269,B1269="Stray",E1269+6,B1269="Stray w/identification",E1269+11,B1269="Bite",E1269+10,B1269="Other",Blank)</f>
        <v>#N/A</v>
      </c>
      <c r="H1269" s="5">
        <f t="shared" si="69"/>
        <v>0</v>
      </c>
      <c r="I1269" s="5" t="e">
        <f t="shared" si="70"/>
        <v>#N/A</v>
      </c>
    </row>
    <row r="1270" spans="3:9" x14ac:dyDescent="0.2">
      <c r="C1270" t="s">
        <v>7</v>
      </c>
      <c r="F1270" s="2" t="e" cm="1">
        <f t="array" ref="F1270">_xlfn.IFS(B1270="Owner Surrender",E1270,B1270="Stray",E1270+6,B1270="Stray w/identification",E1270+11,B1270="Bite",E1270+10,B1270="Other",Blank)</f>
        <v>#N/A</v>
      </c>
      <c r="H1270" s="5">
        <f t="shared" si="69"/>
        <v>0</v>
      </c>
      <c r="I1270" s="5" t="e">
        <f t="shared" si="70"/>
        <v>#N/A</v>
      </c>
    </row>
    <row r="1271" spans="3:9" x14ac:dyDescent="0.2">
      <c r="C1271" t="s">
        <v>7</v>
      </c>
      <c r="F1271" s="2" t="e" cm="1">
        <f t="array" ref="F1271">_xlfn.IFS(B1271="Owner Surrender",E1271,B1271="Stray",E1271+6,B1271="Stray w/identification",E1271+11,B1271="Bite",E1271+10,B1271="Other",Blank)</f>
        <v>#N/A</v>
      </c>
      <c r="H1271" s="5">
        <f t="shared" si="69"/>
        <v>0</v>
      </c>
      <c r="I1271" s="5" t="e">
        <f t="shared" si="70"/>
        <v>#N/A</v>
      </c>
    </row>
    <row r="1272" spans="3:9" x14ac:dyDescent="0.2">
      <c r="C1272" t="s">
        <v>7</v>
      </c>
      <c r="F1272" s="2" t="e" cm="1">
        <f t="array" ref="F1272">_xlfn.IFS(B1272="Owner Surrender",E1272,B1272="Stray",E1272+6,B1272="Stray w/identification",E1272+11,B1272="Bite",E1272+10,B1272="Other",Blank)</f>
        <v>#N/A</v>
      </c>
      <c r="H1272" s="5">
        <f t="shared" si="69"/>
        <v>0</v>
      </c>
      <c r="I1272" s="5" t="e">
        <f t="shared" si="70"/>
        <v>#N/A</v>
      </c>
    </row>
    <row r="1273" spans="3:9" x14ac:dyDescent="0.2">
      <c r="C1273" t="s">
        <v>7</v>
      </c>
      <c r="F1273" s="2" t="e" cm="1">
        <f t="array" ref="F1273">_xlfn.IFS(B1273="Owner Surrender",E1273,B1273="Stray",E1273+6,B1273="Stray w/identification",E1273+11,B1273="Bite",E1273+10,B1273="Other",Blank)</f>
        <v>#N/A</v>
      </c>
      <c r="H1273" s="5">
        <f t="shared" si="69"/>
        <v>0</v>
      </c>
      <c r="I1273" s="5" t="e">
        <f t="shared" si="70"/>
        <v>#N/A</v>
      </c>
    </row>
    <row r="1274" spans="3:9" x14ac:dyDescent="0.2">
      <c r="C1274" t="s">
        <v>7</v>
      </c>
      <c r="F1274" s="2" t="e" cm="1">
        <f t="array" ref="F1274">_xlfn.IFS(B1274="Owner Surrender",E1274,B1274="Stray",E1274+6,B1274="Stray w/identification",E1274+11,B1274="Bite",E1274+10,B1274="Other",Blank)</f>
        <v>#N/A</v>
      </c>
      <c r="H1274" s="5">
        <f t="shared" si="69"/>
        <v>0</v>
      </c>
      <c r="I1274" s="5" t="e">
        <f t="shared" si="70"/>
        <v>#N/A</v>
      </c>
    </row>
    <row r="1275" spans="3:9" x14ac:dyDescent="0.2">
      <c r="C1275" t="s">
        <v>7</v>
      </c>
      <c r="F1275" s="2" t="e" cm="1">
        <f t="array" ref="F1275">_xlfn.IFS(B1275="Owner Surrender",E1275,B1275="Stray",E1275+6,B1275="Stray w/identification",E1275+11,B1275="Bite",E1275+10,B1275="Other",Blank)</f>
        <v>#N/A</v>
      </c>
      <c r="H1275" s="5">
        <f t="shared" si="69"/>
        <v>0</v>
      </c>
      <c r="I1275" s="5" t="e">
        <f t="shared" si="70"/>
        <v>#N/A</v>
      </c>
    </row>
    <row r="1276" spans="3:9" x14ac:dyDescent="0.2">
      <c r="C1276" t="s">
        <v>7</v>
      </c>
      <c r="F1276" s="2" t="e" cm="1">
        <f t="array" ref="F1276">_xlfn.IFS(B1276="Owner Surrender",E1276,B1276="Stray",E1276+6,B1276="Stray w/identification",E1276+11,B1276="Bite",E1276+10,B1276="Other",Blank)</f>
        <v>#N/A</v>
      </c>
      <c r="H1276" s="5">
        <f t="shared" si="69"/>
        <v>0</v>
      </c>
      <c r="I1276" s="5" t="e">
        <f t="shared" si="70"/>
        <v>#N/A</v>
      </c>
    </row>
    <row r="1277" spans="3:9" x14ac:dyDescent="0.2">
      <c r="C1277" t="s">
        <v>7</v>
      </c>
      <c r="F1277" s="2" t="e" cm="1">
        <f t="array" ref="F1277">_xlfn.IFS(B1277="Owner Surrender",E1277,B1277="Stray",E1277+6,B1277="Stray w/identification",E1277+11,B1277="Bite",E1277+10,B1277="Other",Blank)</f>
        <v>#N/A</v>
      </c>
      <c r="H1277" s="5">
        <f t="shared" si="69"/>
        <v>0</v>
      </c>
      <c r="I1277" s="5" t="e">
        <f t="shared" si="70"/>
        <v>#N/A</v>
      </c>
    </row>
    <row r="1278" spans="3:9" x14ac:dyDescent="0.2">
      <c r="C1278" t="s">
        <v>7</v>
      </c>
      <c r="F1278" s="2" t="e" cm="1">
        <f t="array" ref="F1278">_xlfn.IFS(B1278="Owner Surrender",E1278,B1278="Stray",E1278+6,B1278="Stray w/identification",E1278+11,B1278="Bite",E1278+10,B1278="Other",Blank)</f>
        <v>#N/A</v>
      </c>
      <c r="H1278" s="5">
        <f t="shared" si="69"/>
        <v>0</v>
      </c>
      <c r="I1278" s="5" t="e">
        <f t="shared" si="70"/>
        <v>#N/A</v>
      </c>
    </row>
    <row r="1279" spans="3:9" x14ac:dyDescent="0.2">
      <c r="C1279" t="s">
        <v>7</v>
      </c>
      <c r="F1279" s="2" t="e" cm="1">
        <f t="array" ref="F1279">_xlfn.IFS(B1279="Owner Surrender",E1279,B1279="Stray",E1279+6,B1279="Stray w/identification",E1279+11,B1279="Bite",E1279+10,B1279="Other",Blank)</f>
        <v>#N/A</v>
      </c>
      <c r="H1279" s="5">
        <f t="shared" si="69"/>
        <v>0</v>
      </c>
      <c r="I1279" s="5" t="e">
        <f t="shared" si="70"/>
        <v>#N/A</v>
      </c>
    </row>
    <row r="1280" spans="3:9" x14ac:dyDescent="0.2">
      <c r="C1280" t="s">
        <v>7</v>
      </c>
      <c r="F1280" s="2" t="e" cm="1">
        <f t="array" ref="F1280">_xlfn.IFS(B1280="Owner Surrender",E1280,B1280="Stray",E1280+6,B1280="Stray w/identification",E1280+11,B1280="Bite",E1280+10,B1280="Other",Blank)</f>
        <v>#N/A</v>
      </c>
      <c r="H1280" s="5">
        <f t="shared" si="69"/>
        <v>0</v>
      </c>
      <c r="I1280" s="5" t="e">
        <f t="shared" si="70"/>
        <v>#N/A</v>
      </c>
    </row>
    <row r="1281" spans="3:9" x14ac:dyDescent="0.2">
      <c r="C1281" t="s">
        <v>7</v>
      </c>
      <c r="F1281" s="2" t="e" cm="1">
        <f t="array" ref="F1281">_xlfn.IFS(B1281="Owner Surrender",E1281,B1281="Stray",E1281+6,B1281="Stray w/identification",E1281+11,B1281="Bite",E1281+10,B1281="Other",Blank)</f>
        <v>#N/A</v>
      </c>
      <c r="H1281" s="5">
        <f t="shared" si="69"/>
        <v>0</v>
      </c>
      <c r="I1281" s="5" t="e">
        <f t="shared" si="70"/>
        <v>#N/A</v>
      </c>
    </row>
    <row r="1282" spans="3:9" x14ac:dyDescent="0.2">
      <c r="C1282" t="s">
        <v>7</v>
      </c>
      <c r="F1282" s="2" t="e" cm="1">
        <f t="array" ref="F1282">_xlfn.IFS(B1282="Owner Surrender",E1282,B1282="Stray",E1282+6,B1282="Stray w/identification",E1282+11,B1282="Bite",E1282+10,B1282="Other",Blank)</f>
        <v>#N/A</v>
      </c>
      <c r="H1282" s="5">
        <f t="shared" si="69"/>
        <v>0</v>
      </c>
      <c r="I1282" s="5" t="e">
        <f t="shared" si="70"/>
        <v>#N/A</v>
      </c>
    </row>
    <row r="1283" spans="3:9" x14ac:dyDescent="0.2">
      <c r="C1283" t="s">
        <v>7</v>
      </c>
      <c r="F1283" s="2" t="e" cm="1">
        <f t="array" ref="F1283">_xlfn.IFS(B1283="Owner Surrender",E1283,B1283="Stray",E1283+6,B1283="Stray w/identification",E1283+11,B1283="Bite",E1283+10,B1283="Other",Blank)</f>
        <v>#N/A</v>
      </c>
      <c r="H1283" s="5">
        <f t="shared" si="69"/>
        <v>0</v>
      </c>
      <c r="I1283" s="5" t="e">
        <f t="shared" si="70"/>
        <v>#N/A</v>
      </c>
    </row>
    <row r="1284" spans="3:9" x14ac:dyDescent="0.2">
      <c r="C1284" t="s">
        <v>7</v>
      </c>
      <c r="F1284" s="2" t="e" cm="1">
        <f t="array" ref="F1284">_xlfn.IFS(B1284="Owner Surrender",E1284,B1284="Stray",E1284+6,B1284="Stray w/identification",E1284+11,B1284="Bite",E1284+10,B1284="Other",Blank)</f>
        <v>#N/A</v>
      </c>
      <c r="H1284" s="5">
        <f t="shared" si="69"/>
        <v>0</v>
      </c>
      <c r="I1284" s="5" t="e">
        <f t="shared" si="70"/>
        <v>#N/A</v>
      </c>
    </row>
    <row r="1285" spans="3:9" x14ac:dyDescent="0.2">
      <c r="C1285" t="s">
        <v>7</v>
      </c>
      <c r="F1285" s="2" t="e" cm="1">
        <f t="array" ref="F1285">_xlfn.IFS(B1285="Owner Surrender",E1285,B1285="Stray",E1285+6,B1285="Stray w/identification",E1285+11,B1285="Bite",E1285+10,B1285="Other",Blank)</f>
        <v>#N/A</v>
      </c>
      <c r="H1285" s="5">
        <f t="shared" si="69"/>
        <v>0</v>
      </c>
      <c r="I1285" s="5" t="e">
        <f t="shared" si="70"/>
        <v>#N/A</v>
      </c>
    </row>
    <row r="1286" spans="3:9" x14ac:dyDescent="0.2">
      <c r="C1286" t="s">
        <v>7</v>
      </c>
      <c r="F1286" s="2" t="e" cm="1">
        <f t="array" ref="F1286">_xlfn.IFS(B1286="Owner Surrender",E1286,B1286="Stray",E1286+6,B1286="Stray w/identification",E1286+11,B1286="Bite",E1286+10,B1286="Other",Blank)</f>
        <v>#N/A</v>
      </c>
      <c r="H1286" s="5">
        <f t="shared" si="69"/>
        <v>0</v>
      </c>
      <c r="I1286" s="5" t="e">
        <f t="shared" si="70"/>
        <v>#N/A</v>
      </c>
    </row>
    <row r="1287" spans="3:9" x14ac:dyDescent="0.2">
      <c r="C1287" t="s">
        <v>7</v>
      </c>
      <c r="F1287" s="2" t="e" cm="1">
        <f t="array" ref="F1287">_xlfn.IFS(B1287="Owner Surrender",E1287,B1287="Stray",E1287+6,B1287="Stray w/identification",E1287+11,B1287="Bite",E1287+10,B1287="Other",Blank)</f>
        <v>#N/A</v>
      </c>
      <c r="H1287" s="5">
        <f t="shared" si="69"/>
        <v>0</v>
      </c>
      <c r="I1287" s="5" t="e">
        <f t="shared" si="70"/>
        <v>#N/A</v>
      </c>
    </row>
    <row r="1288" spans="3:9" x14ac:dyDescent="0.2">
      <c r="C1288" t="s">
        <v>7</v>
      </c>
      <c r="F1288" s="2" t="e" cm="1">
        <f t="array" ref="F1288">_xlfn.IFS(B1288="Owner Surrender",E1288,B1288="Stray",E1288+6,B1288="Stray w/identification",E1288+11,B1288="Bite",E1288+10,B1288="Other",Blank)</f>
        <v>#N/A</v>
      </c>
      <c r="H1288" s="5">
        <f t="shared" si="69"/>
        <v>0</v>
      </c>
      <c r="I1288" s="5" t="e">
        <f t="shared" si="70"/>
        <v>#N/A</v>
      </c>
    </row>
    <row r="1289" spans="3:9" x14ac:dyDescent="0.2">
      <c r="C1289" t="s">
        <v>7</v>
      </c>
      <c r="F1289" s="2" t="e" cm="1">
        <f t="array" ref="F1289">_xlfn.IFS(B1289="Owner Surrender",E1289,B1289="Stray",E1289+6,B1289="Stray w/identification",E1289+11,B1289="Bite",E1289+10,B1289="Other",Blank)</f>
        <v>#N/A</v>
      </c>
      <c r="H1289" s="5">
        <f t="shared" si="69"/>
        <v>0</v>
      </c>
      <c r="I1289" s="5" t="e">
        <f t="shared" si="70"/>
        <v>#N/A</v>
      </c>
    </row>
    <row r="1290" spans="3:9" x14ac:dyDescent="0.2">
      <c r="C1290" t="s">
        <v>7</v>
      </c>
      <c r="F1290" s="2" t="e" cm="1">
        <f t="array" ref="F1290">_xlfn.IFS(B1290="Owner Surrender",E1290,B1290="Stray",E1290+6,B1290="Stray w/identification",E1290+11,B1290="Bite",E1290+10,B1290="Other",Blank)</f>
        <v>#N/A</v>
      </c>
      <c r="H1290" s="5">
        <f t="shared" si="69"/>
        <v>0</v>
      </c>
      <c r="I1290" s="5" t="e">
        <f t="shared" si="70"/>
        <v>#N/A</v>
      </c>
    </row>
    <row r="1291" spans="3:9" x14ac:dyDescent="0.2">
      <c r="C1291" t="s">
        <v>7</v>
      </c>
      <c r="F1291" s="2" t="e" cm="1">
        <f t="array" ref="F1291">_xlfn.IFS(B1291="Owner Surrender",E1291,B1291="Stray",E1291+6,B1291="Stray w/identification",E1291+11,B1291="Bite",E1291+10,B1291="Other",Blank)</f>
        <v>#N/A</v>
      </c>
      <c r="H1291" s="5">
        <f t="shared" si="69"/>
        <v>0</v>
      </c>
      <c r="I1291" s="5" t="e">
        <f t="shared" si="70"/>
        <v>#N/A</v>
      </c>
    </row>
    <row r="1292" spans="3:9" x14ac:dyDescent="0.2">
      <c r="C1292" t="s">
        <v>7</v>
      </c>
      <c r="F1292" s="2" t="e" cm="1">
        <f t="array" ref="F1292">_xlfn.IFS(B1292="Owner Surrender",E1292,B1292="Stray",E1292+6,B1292="Stray w/identification",E1292+11,B1292="Bite",E1292+10,B1292="Other",Blank)</f>
        <v>#N/A</v>
      </c>
      <c r="H1292" s="5">
        <f t="shared" si="69"/>
        <v>0</v>
      </c>
      <c r="I1292" s="5" t="e">
        <f t="shared" si="70"/>
        <v>#N/A</v>
      </c>
    </row>
    <row r="1293" spans="3:9" x14ac:dyDescent="0.2">
      <c r="C1293" t="s">
        <v>7</v>
      </c>
      <c r="F1293" s="2" t="e" cm="1">
        <f t="array" ref="F1293">_xlfn.IFS(B1293="Owner Surrender",E1293,B1293="Stray",E1293+6,B1293="Stray w/identification",E1293+11,B1293="Bite",E1293+10,B1293="Other",Blank)</f>
        <v>#N/A</v>
      </c>
      <c r="H1293" s="5">
        <f t="shared" si="69"/>
        <v>0</v>
      </c>
      <c r="I1293" s="5" t="e">
        <f t="shared" si="70"/>
        <v>#N/A</v>
      </c>
    </row>
    <row r="1294" spans="3:9" x14ac:dyDescent="0.2">
      <c r="C1294" t="s">
        <v>7</v>
      </c>
      <c r="F1294" s="2" t="e" cm="1">
        <f t="array" ref="F1294">_xlfn.IFS(B1294="Owner Surrender",E1294,B1294="Stray",E1294+6,B1294="Stray w/identification",E1294+11,B1294="Bite",E1294+10,B1294="Other",Blank)</f>
        <v>#N/A</v>
      </c>
      <c r="H1294" s="5">
        <f t="shared" si="69"/>
        <v>0</v>
      </c>
      <c r="I1294" s="5" t="e">
        <f t="shared" si="70"/>
        <v>#N/A</v>
      </c>
    </row>
    <row r="1295" spans="3:9" x14ac:dyDescent="0.2">
      <c r="C1295" t="s">
        <v>7</v>
      </c>
      <c r="F1295" s="2" t="e" cm="1">
        <f t="array" ref="F1295">_xlfn.IFS(B1295="Owner Surrender",E1295,B1295="Stray",E1295+6,B1295="Stray w/identification",E1295+11,B1295="Bite",E1295+10,B1295="Other",Blank)</f>
        <v>#N/A</v>
      </c>
      <c r="H1295" s="5">
        <f t="shared" si="69"/>
        <v>0</v>
      </c>
      <c r="I1295" s="5" t="e">
        <f t="shared" si="70"/>
        <v>#N/A</v>
      </c>
    </row>
    <row r="1296" spans="3:9" x14ac:dyDescent="0.2">
      <c r="C1296" t="s">
        <v>7</v>
      </c>
      <c r="F1296" s="2" t="e" cm="1">
        <f t="array" ref="F1296">_xlfn.IFS(B1296="Owner Surrender",E1296,B1296="Stray",E1296+6,B1296="Stray w/identification",E1296+11,B1296="Bite",E1296+10,B1296="Other",Blank)</f>
        <v>#N/A</v>
      </c>
      <c r="H1296" s="5">
        <f t="shared" si="69"/>
        <v>0</v>
      </c>
      <c r="I1296" s="5" t="e">
        <f t="shared" si="70"/>
        <v>#N/A</v>
      </c>
    </row>
    <row r="1297" spans="3:9" x14ac:dyDescent="0.2">
      <c r="C1297" t="s">
        <v>7</v>
      </c>
      <c r="F1297" s="2" t="e" cm="1">
        <f t="array" ref="F1297">_xlfn.IFS(B1297="Owner Surrender",E1297,B1297="Stray",E1297+6,B1297="Stray w/identification",E1297+11,B1297="Bite",E1297+10,B1297="Other",Blank)</f>
        <v>#N/A</v>
      </c>
      <c r="H1297" s="5">
        <f t="shared" si="69"/>
        <v>0</v>
      </c>
      <c r="I1297" s="5" t="e">
        <f t="shared" si="70"/>
        <v>#N/A</v>
      </c>
    </row>
    <row r="1298" spans="3:9" x14ac:dyDescent="0.2">
      <c r="C1298" t="s">
        <v>7</v>
      </c>
      <c r="F1298" s="2" t="e" cm="1">
        <f t="array" ref="F1298">_xlfn.IFS(B1298="Owner Surrender",E1298,B1298="Stray",E1298+6,B1298="Stray w/identification",E1298+11,B1298="Bite",E1298+10,B1298="Other",Blank)</f>
        <v>#N/A</v>
      </c>
      <c r="H1298" s="5">
        <f t="shared" si="69"/>
        <v>0</v>
      </c>
      <c r="I1298" s="5" t="e">
        <f t="shared" si="70"/>
        <v>#N/A</v>
      </c>
    </row>
    <row r="1299" spans="3:9" x14ac:dyDescent="0.2">
      <c r="C1299" t="s">
        <v>7</v>
      </c>
      <c r="F1299" s="2" t="e" cm="1">
        <f t="array" ref="F1299">_xlfn.IFS(B1299="Owner Surrender",E1299,B1299="Stray",E1299+6,B1299="Stray w/identification",E1299+11,B1299="Bite",E1299+10,B1299="Other",Blank)</f>
        <v>#N/A</v>
      </c>
      <c r="H1299" s="5">
        <f t="shared" si="69"/>
        <v>0</v>
      </c>
      <c r="I1299" s="5" t="e">
        <f t="shared" si="70"/>
        <v>#N/A</v>
      </c>
    </row>
    <row r="1300" spans="3:9" x14ac:dyDescent="0.2">
      <c r="C1300" t="s">
        <v>7</v>
      </c>
      <c r="F1300" s="2" t="e" cm="1">
        <f t="array" ref="F1300">_xlfn.IFS(B1300="Owner Surrender",E1300,B1300="Stray",E1300+6,B1300="Stray w/identification",E1300+11,B1300="Bite",E1300+10,B1300="Other",Blank)</f>
        <v>#N/A</v>
      </c>
      <c r="H1300" s="5">
        <f t="shared" si="69"/>
        <v>0</v>
      </c>
      <c r="I1300" s="5" t="e">
        <f t="shared" si="70"/>
        <v>#N/A</v>
      </c>
    </row>
    <row r="1301" spans="3:9" x14ac:dyDescent="0.2">
      <c r="C1301" t="s">
        <v>7</v>
      </c>
      <c r="F1301" s="2" t="e" cm="1">
        <f t="array" ref="F1301">_xlfn.IFS(B1301="Owner Surrender",E1301,B1301="Stray",E1301+6,B1301="Stray w/identification",E1301+11,B1301="Bite",E1301+10,B1301="Other",Blank)</f>
        <v>#N/A</v>
      </c>
      <c r="H1301" s="5">
        <f t="shared" si="69"/>
        <v>0</v>
      </c>
      <c r="I1301" s="5" t="e">
        <f t="shared" si="70"/>
        <v>#N/A</v>
      </c>
    </row>
    <row r="1302" spans="3:9" x14ac:dyDescent="0.2">
      <c r="C1302" t="s">
        <v>7</v>
      </c>
      <c r="F1302" s="2" t="e" cm="1">
        <f t="array" ref="F1302">_xlfn.IFS(B1302="Owner Surrender",E1302,B1302="Stray",E1302+6,B1302="Stray w/identification",E1302+11,B1302="Bite",E1302+10,B1302="Other",Blank)</f>
        <v>#N/A</v>
      </c>
      <c r="H1302" s="5">
        <f t="shared" si="69"/>
        <v>0</v>
      </c>
      <c r="I1302" s="5" t="e">
        <f t="shared" si="70"/>
        <v>#N/A</v>
      </c>
    </row>
    <row r="1303" spans="3:9" x14ac:dyDescent="0.2">
      <c r="C1303" t="s">
        <v>7</v>
      </c>
      <c r="F1303" s="2" t="e" cm="1">
        <f t="array" ref="F1303">_xlfn.IFS(B1303="Owner Surrender",E1303,B1303="Stray",E1303+6,B1303="Stray w/identification",E1303+11,B1303="Bite",E1303+10,B1303="Other",Blank)</f>
        <v>#N/A</v>
      </c>
      <c r="H1303" s="5">
        <f t="shared" si="69"/>
        <v>0</v>
      </c>
      <c r="I1303" s="5" t="e">
        <f t="shared" si="70"/>
        <v>#N/A</v>
      </c>
    </row>
    <row r="1304" spans="3:9" x14ac:dyDescent="0.2">
      <c r="C1304" t="s">
        <v>7</v>
      </c>
      <c r="F1304" s="2" t="e" cm="1">
        <f t="array" ref="F1304">_xlfn.IFS(B1304="Owner Surrender",E1304,B1304="Stray",E1304+6,B1304="Stray w/identification",E1304+11,B1304="Bite",E1304+10,B1304="Other",Blank)</f>
        <v>#N/A</v>
      </c>
      <c r="H1304" s="5">
        <f t="shared" si="69"/>
        <v>0</v>
      </c>
      <c r="I1304" s="5" t="e">
        <f t="shared" si="70"/>
        <v>#N/A</v>
      </c>
    </row>
    <row r="1305" spans="3:9" x14ac:dyDescent="0.2">
      <c r="C1305" t="s">
        <v>7</v>
      </c>
      <c r="F1305" s="2" t="e" cm="1">
        <f t="array" ref="F1305">_xlfn.IFS(B1305="Owner Surrender",E1305,B1305="Stray",E1305+6,B1305="Stray w/identification",E1305+11,B1305="Bite",E1305+10,B1305="Other",Blank)</f>
        <v>#N/A</v>
      </c>
      <c r="H1305" s="5">
        <f t="shared" si="69"/>
        <v>0</v>
      </c>
      <c r="I1305" s="5" t="e">
        <f t="shared" si="70"/>
        <v>#N/A</v>
      </c>
    </row>
    <row r="1306" spans="3:9" x14ac:dyDescent="0.2">
      <c r="C1306" t="s">
        <v>7</v>
      </c>
      <c r="F1306" s="2" t="e" cm="1">
        <f t="array" ref="F1306">_xlfn.IFS(B1306="Owner Surrender",E1306,B1306="Stray",E1306+6,B1306="Stray w/identification",E1306+11,B1306="Bite",E1306+10,B1306="Other",Blank)</f>
        <v>#N/A</v>
      </c>
      <c r="H1306" s="5">
        <f t="shared" ref="H1306:H1369" si="71">+G1306-E1306</f>
        <v>0</v>
      </c>
      <c r="I1306" s="5" t="e">
        <f t="shared" ref="I1306:I1369" si="72">G1306-F1306</f>
        <v>#N/A</v>
      </c>
    </row>
    <row r="1307" spans="3:9" x14ac:dyDescent="0.2">
      <c r="C1307" t="s">
        <v>7</v>
      </c>
      <c r="F1307" s="2" t="e" cm="1">
        <f t="array" ref="F1307">_xlfn.IFS(B1307="Owner Surrender",E1307,B1307="Stray",E1307+6,B1307="Stray w/identification",E1307+11,B1307="Bite",E1307+10,B1307="Other",Blank)</f>
        <v>#N/A</v>
      </c>
      <c r="H1307" s="5">
        <f t="shared" si="71"/>
        <v>0</v>
      </c>
      <c r="I1307" s="5" t="e">
        <f t="shared" si="72"/>
        <v>#N/A</v>
      </c>
    </row>
    <row r="1308" spans="3:9" x14ac:dyDescent="0.2">
      <c r="C1308" t="s">
        <v>7</v>
      </c>
      <c r="F1308" s="2" t="e" cm="1">
        <f t="array" ref="F1308">_xlfn.IFS(B1308="Owner Surrender",E1308,B1308="Stray",E1308+6,B1308="Stray w/identification",E1308+11,B1308="Bite",E1308+10,B1308="Other",Blank)</f>
        <v>#N/A</v>
      </c>
      <c r="H1308" s="5">
        <f t="shared" si="71"/>
        <v>0</v>
      </c>
      <c r="I1308" s="5" t="e">
        <f t="shared" si="72"/>
        <v>#N/A</v>
      </c>
    </row>
    <row r="1309" spans="3:9" x14ac:dyDescent="0.2">
      <c r="C1309" t="s">
        <v>7</v>
      </c>
      <c r="F1309" s="2" t="e" cm="1">
        <f t="array" ref="F1309">_xlfn.IFS(B1309="Owner Surrender",E1309,B1309="Stray",E1309+6,B1309="Stray w/identification",E1309+11,B1309="Bite",E1309+10,B1309="Other",Blank)</f>
        <v>#N/A</v>
      </c>
      <c r="H1309" s="5">
        <f t="shared" si="71"/>
        <v>0</v>
      </c>
      <c r="I1309" s="5" t="e">
        <f t="shared" si="72"/>
        <v>#N/A</v>
      </c>
    </row>
    <row r="1310" spans="3:9" x14ac:dyDescent="0.2">
      <c r="C1310" t="s">
        <v>7</v>
      </c>
      <c r="F1310" s="2" t="e" cm="1">
        <f t="array" ref="F1310">_xlfn.IFS(B1310="Owner Surrender",E1310,B1310="Stray",E1310+6,B1310="Stray w/identification",E1310+11,B1310="Bite",E1310+10,B1310="Other",Blank)</f>
        <v>#N/A</v>
      </c>
      <c r="H1310" s="5">
        <f t="shared" si="71"/>
        <v>0</v>
      </c>
      <c r="I1310" s="5" t="e">
        <f t="shared" si="72"/>
        <v>#N/A</v>
      </c>
    </row>
    <row r="1311" spans="3:9" x14ac:dyDescent="0.2">
      <c r="C1311" t="s">
        <v>7</v>
      </c>
      <c r="F1311" s="2" t="e" cm="1">
        <f t="array" ref="F1311">_xlfn.IFS(B1311="Owner Surrender",E1311,B1311="Stray",E1311+6,B1311="Stray w/identification",E1311+11,B1311="Bite",E1311+10,B1311="Other",Blank)</f>
        <v>#N/A</v>
      </c>
      <c r="H1311" s="5">
        <f t="shared" si="71"/>
        <v>0</v>
      </c>
      <c r="I1311" s="5" t="e">
        <f t="shared" si="72"/>
        <v>#N/A</v>
      </c>
    </row>
    <row r="1312" spans="3:9" x14ac:dyDescent="0.2">
      <c r="C1312" t="s">
        <v>7</v>
      </c>
      <c r="F1312" s="2" t="e" cm="1">
        <f t="array" ref="F1312">_xlfn.IFS(B1312="Owner Surrender",E1312,B1312="Stray",E1312+6,B1312="Stray w/identification",E1312+11,B1312="Bite",E1312+10,B1312="Other",Blank)</f>
        <v>#N/A</v>
      </c>
      <c r="H1312" s="5">
        <f t="shared" si="71"/>
        <v>0</v>
      </c>
      <c r="I1312" s="5" t="e">
        <f t="shared" si="72"/>
        <v>#N/A</v>
      </c>
    </row>
    <row r="1313" spans="3:9" x14ac:dyDescent="0.2">
      <c r="C1313" t="s">
        <v>7</v>
      </c>
      <c r="F1313" s="2" t="e" cm="1">
        <f t="array" ref="F1313">_xlfn.IFS(B1313="Owner Surrender",E1313,B1313="Stray",E1313+6,B1313="Stray w/identification",E1313+11,B1313="Bite",E1313+10,B1313="Other",Blank)</f>
        <v>#N/A</v>
      </c>
      <c r="H1313" s="5">
        <f t="shared" si="71"/>
        <v>0</v>
      </c>
      <c r="I1313" s="5" t="e">
        <f t="shared" si="72"/>
        <v>#N/A</v>
      </c>
    </row>
    <row r="1314" spans="3:9" x14ac:dyDescent="0.2">
      <c r="C1314" t="s">
        <v>7</v>
      </c>
      <c r="F1314" s="2" t="e" cm="1">
        <f t="array" ref="F1314">_xlfn.IFS(B1314="Owner Surrender",E1314,B1314="Stray",E1314+6,B1314="Stray w/identification",E1314+11,B1314="Bite",E1314+10,B1314="Other",Blank)</f>
        <v>#N/A</v>
      </c>
      <c r="H1314" s="5">
        <f t="shared" si="71"/>
        <v>0</v>
      </c>
      <c r="I1314" s="5" t="e">
        <f t="shared" si="72"/>
        <v>#N/A</v>
      </c>
    </row>
    <row r="1315" spans="3:9" x14ac:dyDescent="0.2">
      <c r="C1315" t="s">
        <v>7</v>
      </c>
      <c r="F1315" s="2" t="e" cm="1">
        <f t="array" ref="F1315">_xlfn.IFS(B1315="Owner Surrender",E1315,B1315="Stray",E1315+6,B1315="Stray w/identification",E1315+11,B1315="Bite",E1315+10,B1315="Other",Blank)</f>
        <v>#N/A</v>
      </c>
      <c r="H1315" s="5">
        <f t="shared" si="71"/>
        <v>0</v>
      </c>
      <c r="I1315" s="5" t="e">
        <f t="shared" si="72"/>
        <v>#N/A</v>
      </c>
    </row>
    <row r="1316" spans="3:9" x14ac:dyDescent="0.2">
      <c r="C1316" t="s">
        <v>7</v>
      </c>
      <c r="F1316" s="2" t="e" cm="1">
        <f t="array" ref="F1316">_xlfn.IFS(B1316="Owner Surrender",E1316,B1316="Stray",E1316+6,B1316="Stray w/identification",E1316+11,B1316="Bite",E1316+10,B1316="Other",Blank)</f>
        <v>#N/A</v>
      </c>
      <c r="H1316" s="5">
        <f t="shared" si="71"/>
        <v>0</v>
      </c>
      <c r="I1316" s="5" t="e">
        <f t="shared" si="72"/>
        <v>#N/A</v>
      </c>
    </row>
    <row r="1317" spans="3:9" x14ac:dyDescent="0.2">
      <c r="C1317" t="s">
        <v>7</v>
      </c>
      <c r="F1317" s="2" t="e" cm="1">
        <f t="array" ref="F1317">_xlfn.IFS(B1317="Owner Surrender",E1317,B1317="Stray",E1317+6,B1317="Stray w/identification",E1317+11,B1317="Bite",E1317+10,B1317="Other",Blank)</f>
        <v>#N/A</v>
      </c>
      <c r="H1317" s="5">
        <f t="shared" si="71"/>
        <v>0</v>
      </c>
      <c r="I1317" s="5" t="e">
        <f t="shared" si="72"/>
        <v>#N/A</v>
      </c>
    </row>
    <row r="1318" spans="3:9" x14ac:dyDescent="0.2">
      <c r="C1318" t="s">
        <v>7</v>
      </c>
      <c r="F1318" s="2" t="e" cm="1">
        <f t="array" ref="F1318">_xlfn.IFS(B1318="Owner Surrender",E1318,B1318="Stray",E1318+6,B1318="Stray w/identification",E1318+11,B1318="Bite",E1318+10,B1318="Other",Blank)</f>
        <v>#N/A</v>
      </c>
      <c r="H1318" s="5">
        <f t="shared" si="71"/>
        <v>0</v>
      </c>
      <c r="I1318" s="5" t="e">
        <f t="shared" si="72"/>
        <v>#N/A</v>
      </c>
    </row>
    <row r="1319" spans="3:9" x14ac:dyDescent="0.2">
      <c r="C1319" t="s">
        <v>7</v>
      </c>
      <c r="F1319" s="2" t="e" cm="1">
        <f t="array" ref="F1319">_xlfn.IFS(B1319="Owner Surrender",E1319,B1319="Stray",E1319+6,B1319="Stray w/identification",E1319+11,B1319="Bite",E1319+10,B1319="Other",Blank)</f>
        <v>#N/A</v>
      </c>
      <c r="H1319" s="5">
        <f t="shared" si="71"/>
        <v>0</v>
      </c>
      <c r="I1319" s="5" t="e">
        <f t="shared" si="72"/>
        <v>#N/A</v>
      </c>
    </row>
    <row r="1320" spans="3:9" x14ac:dyDescent="0.2">
      <c r="C1320" t="s">
        <v>7</v>
      </c>
      <c r="F1320" s="2" t="e" cm="1">
        <f t="array" ref="F1320">_xlfn.IFS(B1320="Owner Surrender",E1320,B1320="Stray",E1320+6,B1320="Stray w/identification",E1320+11,B1320="Bite",E1320+10,B1320="Other",Blank)</f>
        <v>#N/A</v>
      </c>
      <c r="H1320" s="5">
        <f t="shared" si="71"/>
        <v>0</v>
      </c>
      <c r="I1320" s="5" t="e">
        <f t="shared" si="72"/>
        <v>#N/A</v>
      </c>
    </row>
    <row r="1321" spans="3:9" x14ac:dyDescent="0.2">
      <c r="C1321" t="s">
        <v>7</v>
      </c>
      <c r="F1321" s="2" t="e" cm="1">
        <f t="array" ref="F1321">_xlfn.IFS(B1321="Owner Surrender",E1321,B1321="Stray",E1321+6,B1321="Stray w/identification",E1321+11,B1321="Bite",E1321+10,B1321="Other",Blank)</f>
        <v>#N/A</v>
      </c>
      <c r="H1321" s="5">
        <f t="shared" si="71"/>
        <v>0</v>
      </c>
      <c r="I1321" s="5" t="e">
        <f t="shared" si="72"/>
        <v>#N/A</v>
      </c>
    </row>
    <row r="1322" spans="3:9" x14ac:dyDescent="0.2">
      <c r="C1322" t="s">
        <v>7</v>
      </c>
      <c r="F1322" s="2" t="e" cm="1">
        <f t="array" ref="F1322">_xlfn.IFS(B1322="Owner Surrender",E1322,B1322="Stray",E1322+6,B1322="Stray w/identification",E1322+11,B1322="Bite",E1322+10,B1322="Other",Blank)</f>
        <v>#N/A</v>
      </c>
      <c r="H1322" s="5">
        <f t="shared" si="71"/>
        <v>0</v>
      </c>
      <c r="I1322" s="5" t="e">
        <f t="shared" si="72"/>
        <v>#N/A</v>
      </c>
    </row>
    <row r="1323" spans="3:9" x14ac:dyDescent="0.2">
      <c r="C1323" t="s">
        <v>7</v>
      </c>
      <c r="F1323" s="2" t="e" cm="1">
        <f t="array" ref="F1323">_xlfn.IFS(B1323="Owner Surrender",E1323,B1323="Stray",E1323+6,B1323="Stray w/identification",E1323+11,B1323="Bite",E1323+10,B1323="Other",Blank)</f>
        <v>#N/A</v>
      </c>
      <c r="H1323" s="5">
        <f t="shared" si="71"/>
        <v>0</v>
      </c>
      <c r="I1323" s="5" t="e">
        <f t="shared" si="72"/>
        <v>#N/A</v>
      </c>
    </row>
    <row r="1324" spans="3:9" x14ac:dyDescent="0.2">
      <c r="C1324" t="s">
        <v>7</v>
      </c>
      <c r="F1324" s="2" t="e" cm="1">
        <f t="array" ref="F1324">_xlfn.IFS(B1324="Owner Surrender",E1324,B1324="Stray",E1324+6,B1324="Stray w/identification",E1324+11,B1324="Bite",E1324+10,B1324="Other",Blank)</f>
        <v>#N/A</v>
      </c>
      <c r="H1324" s="5">
        <f t="shared" si="71"/>
        <v>0</v>
      </c>
      <c r="I1324" s="5" t="e">
        <f t="shared" si="72"/>
        <v>#N/A</v>
      </c>
    </row>
    <row r="1325" spans="3:9" x14ac:dyDescent="0.2">
      <c r="C1325" t="s">
        <v>7</v>
      </c>
      <c r="F1325" s="2" t="e" cm="1">
        <f t="array" ref="F1325">_xlfn.IFS(B1325="Owner Surrender",E1325,B1325="Stray",E1325+6,B1325="Stray w/identification",E1325+11,B1325="Bite",E1325+10,B1325="Other",Blank)</f>
        <v>#N/A</v>
      </c>
      <c r="H1325" s="5">
        <f t="shared" si="71"/>
        <v>0</v>
      </c>
      <c r="I1325" s="5" t="e">
        <f t="shared" si="72"/>
        <v>#N/A</v>
      </c>
    </row>
    <row r="1326" spans="3:9" x14ac:dyDescent="0.2">
      <c r="C1326" t="s">
        <v>7</v>
      </c>
      <c r="F1326" s="2" t="e" cm="1">
        <f t="array" ref="F1326">_xlfn.IFS(B1326="Owner Surrender",E1326,B1326="Stray",E1326+6,B1326="Stray w/identification",E1326+11,B1326="Bite",E1326+10,B1326="Other",Blank)</f>
        <v>#N/A</v>
      </c>
      <c r="H1326" s="5">
        <f t="shared" si="71"/>
        <v>0</v>
      </c>
      <c r="I1326" s="5" t="e">
        <f t="shared" si="72"/>
        <v>#N/A</v>
      </c>
    </row>
    <row r="1327" spans="3:9" x14ac:dyDescent="0.2">
      <c r="C1327" t="s">
        <v>7</v>
      </c>
      <c r="F1327" s="2" t="e" cm="1">
        <f t="array" ref="F1327">_xlfn.IFS(B1327="Owner Surrender",E1327,B1327="Stray",E1327+6,B1327="Stray w/identification",E1327+11,B1327="Bite",E1327+10,B1327="Other",Blank)</f>
        <v>#N/A</v>
      </c>
      <c r="H1327" s="5">
        <f t="shared" si="71"/>
        <v>0</v>
      </c>
      <c r="I1327" s="5" t="e">
        <f t="shared" si="72"/>
        <v>#N/A</v>
      </c>
    </row>
    <row r="1328" spans="3:9" x14ac:dyDescent="0.2">
      <c r="C1328" t="s">
        <v>7</v>
      </c>
      <c r="F1328" s="2" t="e" cm="1">
        <f t="array" ref="F1328">_xlfn.IFS(B1328="Owner Surrender",E1328,B1328="Stray",E1328+6,B1328="Stray w/identification",E1328+11,B1328="Bite",E1328+10,B1328="Other",Blank)</f>
        <v>#N/A</v>
      </c>
      <c r="H1328" s="5">
        <f t="shared" si="71"/>
        <v>0</v>
      </c>
      <c r="I1328" s="5" t="e">
        <f t="shared" si="72"/>
        <v>#N/A</v>
      </c>
    </row>
    <row r="1329" spans="3:9" x14ac:dyDescent="0.2">
      <c r="C1329" t="s">
        <v>7</v>
      </c>
      <c r="F1329" s="2" t="e" cm="1">
        <f t="array" ref="F1329">_xlfn.IFS(B1329="Owner Surrender",E1329,B1329="Stray",E1329+6,B1329="Stray w/identification",E1329+11,B1329="Bite",E1329+10,B1329="Other",Blank)</f>
        <v>#N/A</v>
      </c>
      <c r="H1329" s="5">
        <f t="shared" si="71"/>
        <v>0</v>
      </c>
      <c r="I1329" s="5" t="e">
        <f t="shared" si="72"/>
        <v>#N/A</v>
      </c>
    </row>
    <row r="1330" spans="3:9" x14ac:dyDescent="0.2">
      <c r="C1330" t="s">
        <v>7</v>
      </c>
      <c r="F1330" s="2" t="e" cm="1">
        <f t="array" ref="F1330">_xlfn.IFS(B1330="Owner Surrender",E1330,B1330="Stray",E1330+6,B1330="Stray w/identification",E1330+11,B1330="Bite",E1330+10,B1330="Other",Blank)</f>
        <v>#N/A</v>
      </c>
      <c r="H1330" s="5">
        <f t="shared" si="71"/>
        <v>0</v>
      </c>
      <c r="I1330" s="5" t="e">
        <f t="shared" si="72"/>
        <v>#N/A</v>
      </c>
    </row>
    <row r="1331" spans="3:9" x14ac:dyDescent="0.2">
      <c r="C1331" t="s">
        <v>7</v>
      </c>
      <c r="F1331" s="2" t="e" cm="1">
        <f t="array" ref="F1331">_xlfn.IFS(B1331="Owner Surrender",E1331,B1331="Stray",E1331+6,B1331="Stray w/identification",E1331+11,B1331="Bite",E1331+10,B1331="Other",Blank)</f>
        <v>#N/A</v>
      </c>
      <c r="H1331" s="5">
        <f t="shared" si="71"/>
        <v>0</v>
      </c>
      <c r="I1331" s="5" t="e">
        <f t="shared" si="72"/>
        <v>#N/A</v>
      </c>
    </row>
    <row r="1332" spans="3:9" x14ac:dyDescent="0.2">
      <c r="C1332" t="s">
        <v>7</v>
      </c>
      <c r="F1332" s="2" t="e" cm="1">
        <f t="array" ref="F1332">_xlfn.IFS(B1332="Owner Surrender",E1332,B1332="Stray",E1332+6,B1332="Stray w/identification",E1332+11,B1332="Bite",E1332+10,B1332="Other",Blank)</f>
        <v>#N/A</v>
      </c>
      <c r="H1332" s="5">
        <f t="shared" si="71"/>
        <v>0</v>
      </c>
      <c r="I1332" s="5" t="e">
        <f t="shared" si="72"/>
        <v>#N/A</v>
      </c>
    </row>
    <row r="1333" spans="3:9" x14ac:dyDescent="0.2">
      <c r="C1333" t="s">
        <v>7</v>
      </c>
      <c r="F1333" s="2" t="e" cm="1">
        <f t="array" ref="F1333">_xlfn.IFS(B1333="Owner Surrender",E1333,B1333="Stray",E1333+6,B1333="Stray w/identification",E1333+11,B1333="Bite",E1333+10,B1333="Other",Blank)</f>
        <v>#N/A</v>
      </c>
      <c r="H1333" s="5">
        <f t="shared" si="71"/>
        <v>0</v>
      </c>
      <c r="I1333" s="5" t="e">
        <f t="shared" si="72"/>
        <v>#N/A</v>
      </c>
    </row>
    <row r="1334" spans="3:9" x14ac:dyDescent="0.2">
      <c r="C1334" t="s">
        <v>7</v>
      </c>
      <c r="F1334" s="2" t="e" cm="1">
        <f t="array" ref="F1334">_xlfn.IFS(B1334="Owner Surrender",E1334,B1334="Stray",E1334+6,B1334="Stray w/identification",E1334+11,B1334="Bite",E1334+10,B1334="Other",Blank)</f>
        <v>#N/A</v>
      </c>
      <c r="H1334" s="5">
        <f t="shared" si="71"/>
        <v>0</v>
      </c>
      <c r="I1334" s="5" t="e">
        <f t="shared" si="72"/>
        <v>#N/A</v>
      </c>
    </row>
    <row r="1335" spans="3:9" x14ac:dyDescent="0.2">
      <c r="C1335" t="s">
        <v>7</v>
      </c>
      <c r="F1335" s="2" t="e" cm="1">
        <f t="array" ref="F1335">_xlfn.IFS(B1335="Owner Surrender",E1335,B1335="Stray",E1335+6,B1335="Stray w/identification",E1335+11,B1335="Bite",E1335+10,B1335="Other",Blank)</f>
        <v>#N/A</v>
      </c>
      <c r="H1335" s="5">
        <f t="shared" si="71"/>
        <v>0</v>
      </c>
      <c r="I1335" s="5" t="e">
        <f t="shared" si="72"/>
        <v>#N/A</v>
      </c>
    </row>
    <row r="1336" spans="3:9" x14ac:dyDescent="0.2">
      <c r="C1336" t="s">
        <v>7</v>
      </c>
      <c r="F1336" s="2" t="e" cm="1">
        <f t="array" ref="F1336">_xlfn.IFS(B1336="Owner Surrender",E1336,B1336="Stray",E1336+6,B1336="Stray w/identification",E1336+11,B1336="Bite",E1336+10,B1336="Other",Blank)</f>
        <v>#N/A</v>
      </c>
      <c r="H1336" s="5">
        <f t="shared" si="71"/>
        <v>0</v>
      </c>
      <c r="I1336" s="5" t="e">
        <f t="shared" si="72"/>
        <v>#N/A</v>
      </c>
    </row>
    <row r="1337" spans="3:9" x14ac:dyDescent="0.2">
      <c r="C1337" t="s">
        <v>7</v>
      </c>
      <c r="F1337" s="2" t="e" cm="1">
        <f t="array" ref="F1337">_xlfn.IFS(B1337="Owner Surrender",E1337,B1337="Stray",E1337+6,B1337="Stray w/identification",E1337+11,B1337="Bite",E1337+10,B1337="Other",Blank)</f>
        <v>#N/A</v>
      </c>
      <c r="H1337" s="5">
        <f t="shared" si="71"/>
        <v>0</v>
      </c>
      <c r="I1337" s="5" t="e">
        <f t="shared" si="72"/>
        <v>#N/A</v>
      </c>
    </row>
    <row r="1338" spans="3:9" x14ac:dyDescent="0.2">
      <c r="C1338" t="s">
        <v>7</v>
      </c>
      <c r="F1338" s="2" t="e" cm="1">
        <f t="array" ref="F1338">_xlfn.IFS(B1338="Owner Surrender",E1338,B1338="Stray",E1338+6,B1338="Stray w/identification",E1338+11,B1338="Bite",E1338+10,B1338="Other",Blank)</f>
        <v>#N/A</v>
      </c>
      <c r="H1338" s="5">
        <f t="shared" si="71"/>
        <v>0</v>
      </c>
      <c r="I1338" s="5" t="e">
        <f t="shared" si="72"/>
        <v>#N/A</v>
      </c>
    </row>
    <row r="1339" spans="3:9" x14ac:dyDescent="0.2">
      <c r="C1339" t="s">
        <v>7</v>
      </c>
      <c r="F1339" s="2" t="e" cm="1">
        <f t="array" ref="F1339">_xlfn.IFS(B1339="Owner Surrender",E1339,B1339="Stray",E1339+6,B1339="Stray w/identification",E1339+11,B1339="Bite",E1339+10,B1339="Other",Blank)</f>
        <v>#N/A</v>
      </c>
      <c r="H1339" s="5">
        <f t="shared" si="71"/>
        <v>0</v>
      </c>
      <c r="I1339" s="5" t="e">
        <f t="shared" si="72"/>
        <v>#N/A</v>
      </c>
    </row>
    <row r="1340" spans="3:9" x14ac:dyDescent="0.2">
      <c r="C1340" t="s">
        <v>7</v>
      </c>
      <c r="F1340" s="2" t="e" cm="1">
        <f t="array" ref="F1340">_xlfn.IFS(B1340="Owner Surrender",E1340,B1340="Stray",E1340+6,B1340="Stray w/identification",E1340+11,B1340="Bite",E1340+10,B1340="Other",Blank)</f>
        <v>#N/A</v>
      </c>
      <c r="H1340" s="5">
        <f t="shared" si="71"/>
        <v>0</v>
      </c>
      <c r="I1340" s="5" t="e">
        <f t="shared" si="72"/>
        <v>#N/A</v>
      </c>
    </row>
    <row r="1341" spans="3:9" x14ac:dyDescent="0.2">
      <c r="C1341" t="s">
        <v>7</v>
      </c>
      <c r="F1341" s="2" t="e" cm="1">
        <f t="array" ref="F1341">_xlfn.IFS(B1341="Owner Surrender",E1341,B1341="Stray",E1341+6,B1341="Stray w/identification",E1341+11,B1341="Bite",E1341+10,B1341="Other",Blank)</f>
        <v>#N/A</v>
      </c>
      <c r="H1341" s="5">
        <f t="shared" si="71"/>
        <v>0</v>
      </c>
      <c r="I1341" s="5" t="e">
        <f t="shared" si="72"/>
        <v>#N/A</v>
      </c>
    </row>
    <row r="1342" spans="3:9" x14ac:dyDescent="0.2">
      <c r="C1342" t="s">
        <v>7</v>
      </c>
      <c r="F1342" s="2" t="e" cm="1">
        <f t="array" ref="F1342">_xlfn.IFS(B1342="Owner Surrender",E1342,B1342="Stray",E1342+6,B1342="Stray w/identification",E1342+11,B1342="Bite",E1342+10,B1342="Other",Blank)</f>
        <v>#N/A</v>
      </c>
      <c r="H1342" s="5">
        <f t="shared" si="71"/>
        <v>0</v>
      </c>
      <c r="I1342" s="5" t="e">
        <f t="shared" si="72"/>
        <v>#N/A</v>
      </c>
    </row>
    <row r="1343" spans="3:9" x14ac:dyDescent="0.2">
      <c r="C1343" t="s">
        <v>7</v>
      </c>
      <c r="F1343" s="2" t="e" cm="1">
        <f t="array" ref="F1343">_xlfn.IFS(B1343="Owner Surrender",E1343,B1343="Stray",E1343+6,B1343="Stray w/identification",E1343+11,B1343="Bite",E1343+10,B1343="Other",Blank)</f>
        <v>#N/A</v>
      </c>
      <c r="H1343" s="5">
        <f t="shared" si="71"/>
        <v>0</v>
      </c>
      <c r="I1343" s="5" t="e">
        <f t="shared" si="72"/>
        <v>#N/A</v>
      </c>
    </row>
    <row r="1344" spans="3:9" x14ac:dyDescent="0.2">
      <c r="C1344" t="s">
        <v>7</v>
      </c>
      <c r="F1344" s="2" t="e" cm="1">
        <f t="array" ref="F1344">_xlfn.IFS(B1344="Owner Surrender",E1344,B1344="Stray",E1344+6,B1344="Stray w/identification",E1344+11,B1344="Bite",E1344+10,B1344="Other",Blank)</f>
        <v>#N/A</v>
      </c>
      <c r="H1344" s="5">
        <f t="shared" si="71"/>
        <v>0</v>
      </c>
      <c r="I1344" s="5" t="e">
        <f t="shared" si="72"/>
        <v>#N/A</v>
      </c>
    </row>
    <row r="1345" spans="3:9" x14ac:dyDescent="0.2">
      <c r="C1345" t="s">
        <v>7</v>
      </c>
      <c r="F1345" s="2" t="e" cm="1">
        <f t="array" ref="F1345">_xlfn.IFS(B1345="Owner Surrender",E1345,B1345="Stray",E1345+6,B1345="Stray w/identification",E1345+11,B1345="Bite",E1345+10,B1345="Other",Blank)</f>
        <v>#N/A</v>
      </c>
      <c r="H1345" s="5">
        <f t="shared" si="71"/>
        <v>0</v>
      </c>
      <c r="I1345" s="5" t="e">
        <f t="shared" si="72"/>
        <v>#N/A</v>
      </c>
    </row>
    <row r="1346" spans="3:9" x14ac:dyDescent="0.2">
      <c r="C1346" t="s">
        <v>7</v>
      </c>
      <c r="F1346" s="2" t="e" cm="1">
        <f t="array" ref="F1346">_xlfn.IFS(B1346="Owner Surrender",E1346,B1346="Stray",E1346+6,B1346="Stray w/identification",E1346+11,B1346="Bite",E1346+10,B1346="Other",Blank)</f>
        <v>#N/A</v>
      </c>
      <c r="H1346" s="5">
        <f t="shared" si="71"/>
        <v>0</v>
      </c>
      <c r="I1346" s="5" t="e">
        <f t="shared" si="72"/>
        <v>#N/A</v>
      </c>
    </row>
    <row r="1347" spans="3:9" x14ac:dyDescent="0.2">
      <c r="C1347" t="s">
        <v>7</v>
      </c>
      <c r="F1347" s="2" t="e" cm="1">
        <f t="array" ref="F1347">_xlfn.IFS(B1347="Owner Surrender",E1347,B1347="Stray",E1347+6,B1347="Stray w/identification",E1347+11,B1347="Bite",E1347+10,B1347="Other",Blank)</f>
        <v>#N/A</v>
      </c>
      <c r="H1347" s="5">
        <f t="shared" si="71"/>
        <v>0</v>
      </c>
      <c r="I1347" s="5" t="e">
        <f t="shared" si="72"/>
        <v>#N/A</v>
      </c>
    </row>
    <row r="1348" spans="3:9" x14ac:dyDescent="0.2">
      <c r="C1348" t="s">
        <v>7</v>
      </c>
      <c r="F1348" s="2" t="e" cm="1">
        <f t="array" ref="F1348">_xlfn.IFS(B1348="Owner Surrender",E1348,B1348="Stray",E1348+6,B1348="Stray w/identification",E1348+11,B1348="Bite",E1348+10,B1348="Other",Blank)</f>
        <v>#N/A</v>
      </c>
      <c r="H1348" s="5">
        <f t="shared" si="71"/>
        <v>0</v>
      </c>
      <c r="I1348" s="5" t="e">
        <f t="shared" si="72"/>
        <v>#N/A</v>
      </c>
    </row>
    <row r="1349" spans="3:9" x14ac:dyDescent="0.2">
      <c r="C1349" t="s">
        <v>7</v>
      </c>
      <c r="F1349" s="2" t="e" cm="1">
        <f t="array" ref="F1349">_xlfn.IFS(B1349="Owner Surrender",E1349,B1349="Stray",E1349+6,B1349="Stray w/identification",E1349+11,B1349="Bite",E1349+10,B1349="Other",Blank)</f>
        <v>#N/A</v>
      </c>
      <c r="H1349" s="5">
        <f t="shared" si="71"/>
        <v>0</v>
      </c>
      <c r="I1349" s="5" t="e">
        <f t="shared" si="72"/>
        <v>#N/A</v>
      </c>
    </row>
    <row r="1350" spans="3:9" x14ac:dyDescent="0.2">
      <c r="C1350" t="s">
        <v>7</v>
      </c>
      <c r="F1350" s="2" t="e" cm="1">
        <f t="array" ref="F1350">_xlfn.IFS(B1350="Owner Surrender",E1350,B1350="Stray",E1350+6,B1350="Stray w/identification",E1350+11,B1350="Bite",E1350+10,B1350="Other",Blank)</f>
        <v>#N/A</v>
      </c>
      <c r="H1350" s="5">
        <f t="shared" si="71"/>
        <v>0</v>
      </c>
      <c r="I1350" s="5" t="e">
        <f t="shared" si="72"/>
        <v>#N/A</v>
      </c>
    </row>
    <row r="1351" spans="3:9" x14ac:dyDescent="0.2">
      <c r="C1351" t="s">
        <v>7</v>
      </c>
      <c r="F1351" s="2" t="e" cm="1">
        <f t="array" ref="F1351">_xlfn.IFS(B1351="Owner Surrender",E1351,B1351="Stray",E1351+6,B1351="Stray w/identification",E1351+11,B1351="Bite",E1351+10,B1351="Other",Blank)</f>
        <v>#N/A</v>
      </c>
      <c r="H1351" s="5">
        <f t="shared" si="71"/>
        <v>0</v>
      </c>
      <c r="I1351" s="5" t="e">
        <f t="shared" si="72"/>
        <v>#N/A</v>
      </c>
    </row>
    <row r="1352" spans="3:9" x14ac:dyDescent="0.2">
      <c r="C1352" t="s">
        <v>7</v>
      </c>
      <c r="F1352" s="2" t="e" cm="1">
        <f t="array" ref="F1352">_xlfn.IFS(B1352="Owner Surrender",E1352,B1352="Stray",E1352+6,B1352="Stray w/identification",E1352+11,B1352="Bite",E1352+10,B1352="Other",Blank)</f>
        <v>#N/A</v>
      </c>
      <c r="H1352" s="5">
        <f t="shared" si="71"/>
        <v>0</v>
      </c>
      <c r="I1352" s="5" t="e">
        <f t="shared" si="72"/>
        <v>#N/A</v>
      </c>
    </row>
    <row r="1353" spans="3:9" x14ac:dyDescent="0.2">
      <c r="C1353" t="s">
        <v>7</v>
      </c>
      <c r="F1353" s="2" t="e" cm="1">
        <f t="array" ref="F1353">_xlfn.IFS(B1353="Owner Surrender",E1353,B1353="Stray",E1353+6,B1353="Stray w/identification",E1353+11,B1353="Bite",E1353+10,B1353="Other",Blank)</f>
        <v>#N/A</v>
      </c>
      <c r="H1353" s="5">
        <f t="shared" si="71"/>
        <v>0</v>
      </c>
      <c r="I1353" s="5" t="e">
        <f t="shared" si="72"/>
        <v>#N/A</v>
      </c>
    </row>
    <row r="1354" spans="3:9" x14ac:dyDescent="0.2">
      <c r="C1354" t="s">
        <v>7</v>
      </c>
      <c r="F1354" s="2" t="e" cm="1">
        <f t="array" ref="F1354">_xlfn.IFS(B1354="Owner Surrender",E1354,B1354="Stray",E1354+6,B1354="Stray w/identification",E1354+11,B1354="Bite",E1354+10,B1354="Other",Blank)</f>
        <v>#N/A</v>
      </c>
      <c r="H1354" s="5">
        <f t="shared" si="71"/>
        <v>0</v>
      </c>
      <c r="I1354" s="5" t="e">
        <f t="shared" si="72"/>
        <v>#N/A</v>
      </c>
    </row>
    <row r="1355" spans="3:9" x14ac:dyDescent="0.2">
      <c r="C1355" t="s">
        <v>7</v>
      </c>
      <c r="F1355" s="2" t="e" cm="1">
        <f t="array" ref="F1355">_xlfn.IFS(B1355="Owner Surrender",E1355,B1355="Stray",E1355+6,B1355="Stray w/identification",E1355+11,B1355="Bite",E1355+10,B1355="Other",Blank)</f>
        <v>#N/A</v>
      </c>
      <c r="H1355" s="5">
        <f t="shared" si="71"/>
        <v>0</v>
      </c>
      <c r="I1355" s="5" t="e">
        <f t="shared" si="72"/>
        <v>#N/A</v>
      </c>
    </row>
    <row r="1356" spans="3:9" x14ac:dyDescent="0.2">
      <c r="C1356" t="s">
        <v>7</v>
      </c>
      <c r="F1356" s="2" t="e" cm="1">
        <f t="array" ref="F1356">_xlfn.IFS(B1356="Owner Surrender",E1356,B1356="Stray",E1356+6,B1356="Stray w/identification",E1356+11,B1356="Bite",E1356+10,B1356="Other",Blank)</f>
        <v>#N/A</v>
      </c>
      <c r="H1356" s="5">
        <f t="shared" si="71"/>
        <v>0</v>
      </c>
      <c r="I1356" s="5" t="e">
        <f t="shared" si="72"/>
        <v>#N/A</v>
      </c>
    </row>
    <row r="1357" spans="3:9" x14ac:dyDescent="0.2">
      <c r="C1357" t="s">
        <v>7</v>
      </c>
      <c r="F1357" s="2" t="e" cm="1">
        <f t="array" ref="F1357">_xlfn.IFS(B1357="Owner Surrender",E1357,B1357="Stray",E1357+6,B1357="Stray w/identification",E1357+11,B1357="Bite",E1357+10,B1357="Other",Blank)</f>
        <v>#N/A</v>
      </c>
      <c r="H1357" s="5">
        <f t="shared" si="71"/>
        <v>0</v>
      </c>
      <c r="I1357" s="5" t="e">
        <f t="shared" si="72"/>
        <v>#N/A</v>
      </c>
    </row>
    <row r="1358" spans="3:9" x14ac:dyDescent="0.2">
      <c r="C1358" t="s">
        <v>7</v>
      </c>
      <c r="F1358" s="2" t="e" cm="1">
        <f t="array" ref="F1358">_xlfn.IFS(B1358="Owner Surrender",E1358,B1358="Stray",E1358+6,B1358="Stray w/identification",E1358+11,B1358="Bite",E1358+10,B1358="Other",Blank)</f>
        <v>#N/A</v>
      </c>
      <c r="H1358" s="5">
        <f t="shared" si="71"/>
        <v>0</v>
      </c>
      <c r="I1358" s="5" t="e">
        <f t="shared" si="72"/>
        <v>#N/A</v>
      </c>
    </row>
    <row r="1359" spans="3:9" x14ac:dyDescent="0.2">
      <c r="C1359" t="s">
        <v>7</v>
      </c>
      <c r="F1359" s="2" t="e" cm="1">
        <f t="array" ref="F1359">_xlfn.IFS(B1359="Owner Surrender",E1359,B1359="Stray",E1359+6,B1359="Stray w/identification",E1359+11,B1359="Bite",E1359+10,B1359="Other",Blank)</f>
        <v>#N/A</v>
      </c>
      <c r="H1359" s="5">
        <f t="shared" si="71"/>
        <v>0</v>
      </c>
      <c r="I1359" s="5" t="e">
        <f t="shared" si="72"/>
        <v>#N/A</v>
      </c>
    </row>
    <row r="1360" spans="3:9" x14ac:dyDescent="0.2">
      <c r="C1360" t="s">
        <v>7</v>
      </c>
      <c r="F1360" s="2" t="e" cm="1">
        <f t="array" ref="F1360">_xlfn.IFS(B1360="Owner Surrender",E1360,B1360="Stray",E1360+6,B1360="Stray w/identification",E1360+11,B1360="Bite",E1360+10,B1360="Other",Blank)</f>
        <v>#N/A</v>
      </c>
      <c r="H1360" s="5">
        <f t="shared" si="71"/>
        <v>0</v>
      </c>
      <c r="I1360" s="5" t="e">
        <f t="shared" si="72"/>
        <v>#N/A</v>
      </c>
    </row>
    <row r="1361" spans="3:9" x14ac:dyDescent="0.2">
      <c r="C1361" t="s">
        <v>7</v>
      </c>
      <c r="F1361" s="2" t="e" cm="1">
        <f t="array" ref="F1361">_xlfn.IFS(B1361="Owner Surrender",E1361,B1361="Stray",E1361+6,B1361="Stray w/identification",E1361+11,B1361="Bite",E1361+10,B1361="Other",Blank)</f>
        <v>#N/A</v>
      </c>
      <c r="H1361" s="5">
        <f t="shared" si="71"/>
        <v>0</v>
      </c>
      <c r="I1361" s="5" t="e">
        <f t="shared" si="72"/>
        <v>#N/A</v>
      </c>
    </row>
    <row r="1362" spans="3:9" x14ac:dyDescent="0.2">
      <c r="C1362" t="s">
        <v>7</v>
      </c>
      <c r="F1362" s="2" t="e" cm="1">
        <f t="array" ref="F1362">_xlfn.IFS(B1362="Owner Surrender",E1362,B1362="Stray",E1362+6,B1362="Stray w/identification",E1362+11,B1362="Bite",E1362+10,B1362="Other",Blank)</f>
        <v>#N/A</v>
      </c>
      <c r="H1362" s="5">
        <f t="shared" si="71"/>
        <v>0</v>
      </c>
      <c r="I1362" s="5" t="e">
        <f t="shared" si="72"/>
        <v>#N/A</v>
      </c>
    </row>
    <row r="1363" spans="3:9" x14ac:dyDescent="0.2">
      <c r="C1363" t="s">
        <v>7</v>
      </c>
      <c r="F1363" s="2" t="e" cm="1">
        <f t="array" ref="F1363">_xlfn.IFS(B1363="Owner Surrender",E1363,B1363="Stray",E1363+6,B1363="Stray w/identification",E1363+11,B1363="Bite",E1363+10,B1363="Other",Blank)</f>
        <v>#N/A</v>
      </c>
      <c r="H1363" s="5">
        <f t="shared" si="71"/>
        <v>0</v>
      </c>
      <c r="I1363" s="5" t="e">
        <f t="shared" si="72"/>
        <v>#N/A</v>
      </c>
    </row>
    <row r="1364" spans="3:9" x14ac:dyDescent="0.2">
      <c r="C1364" t="s">
        <v>7</v>
      </c>
      <c r="F1364" s="2" t="e" cm="1">
        <f t="array" ref="F1364">_xlfn.IFS(B1364="Owner Surrender",E1364,B1364="Stray",E1364+6,B1364="Stray w/identification",E1364+11,B1364="Bite",E1364+10,B1364="Other",Blank)</f>
        <v>#N/A</v>
      </c>
      <c r="H1364" s="5">
        <f t="shared" si="71"/>
        <v>0</v>
      </c>
      <c r="I1364" s="5" t="e">
        <f t="shared" si="72"/>
        <v>#N/A</v>
      </c>
    </row>
    <row r="1365" spans="3:9" x14ac:dyDescent="0.2">
      <c r="C1365" t="s">
        <v>7</v>
      </c>
      <c r="F1365" s="2" t="e" cm="1">
        <f t="array" ref="F1365">_xlfn.IFS(B1365="Owner Surrender",E1365,B1365="Stray",E1365+6,B1365="Stray w/identification",E1365+11,B1365="Bite",E1365+10,B1365="Other",Blank)</f>
        <v>#N/A</v>
      </c>
      <c r="H1365" s="5">
        <f t="shared" si="71"/>
        <v>0</v>
      </c>
      <c r="I1365" s="5" t="e">
        <f t="shared" si="72"/>
        <v>#N/A</v>
      </c>
    </row>
    <row r="1366" spans="3:9" x14ac:dyDescent="0.2">
      <c r="C1366" t="s">
        <v>7</v>
      </c>
      <c r="F1366" s="2" t="e" cm="1">
        <f t="array" ref="F1366">_xlfn.IFS(B1366="Owner Surrender",E1366,B1366="Stray",E1366+6,B1366="Stray w/identification",E1366+11,B1366="Bite",E1366+10,B1366="Other",Blank)</f>
        <v>#N/A</v>
      </c>
      <c r="H1366" s="5">
        <f t="shared" si="71"/>
        <v>0</v>
      </c>
      <c r="I1366" s="5" t="e">
        <f t="shared" si="72"/>
        <v>#N/A</v>
      </c>
    </row>
    <row r="1367" spans="3:9" x14ac:dyDescent="0.2">
      <c r="C1367" t="s">
        <v>7</v>
      </c>
      <c r="F1367" s="2" t="e" cm="1">
        <f t="array" ref="F1367">_xlfn.IFS(B1367="Owner Surrender",E1367,B1367="Stray",E1367+6,B1367="Stray w/identification",E1367+11,B1367="Bite",E1367+10,B1367="Other",Blank)</f>
        <v>#N/A</v>
      </c>
      <c r="H1367" s="5">
        <f t="shared" si="71"/>
        <v>0</v>
      </c>
      <c r="I1367" s="5" t="e">
        <f t="shared" si="72"/>
        <v>#N/A</v>
      </c>
    </row>
    <row r="1368" spans="3:9" x14ac:dyDescent="0.2">
      <c r="C1368" t="s">
        <v>7</v>
      </c>
      <c r="F1368" s="2" t="e" cm="1">
        <f t="array" ref="F1368">_xlfn.IFS(B1368="Owner Surrender",E1368,B1368="Stray",E1368+6,B1368="Stray w/identification",E1368+11,B1368="Bite",E1368+10,B1368="Other",Blank)</f>
        <v>#N/A</v>
      </c>
      <c r="H1368" s="5">
        <f t="shared" si="71"/>
        <v>0</v>
      </c>
      <c r="I1368" s="5" t="e">
        <f t="shared" si="72"/>
        <v>#N/A</v>
      </c>
    </row>
    <row r="1369" spans="3:9" x14ac:dyDescent="0.2">
      <c r="C1369" t="s">
        <v>7</v>
      </c>
      <c r="F1369" s="2" t="e" cm="1">
        <f t="array" ref="F1369">_xlfn.IFS(B1369="Owner Surrender",E1369,B1369="Stray",E1369+6,B1369="Stray w/identification",E1369+11,B1369="Bite",E1369+10,B1369="Other",Blank)</f>
        <v>#N/A</v>
      </c>
      <c r="H1369" s="5">
        <f t="shared" si="71"/>
        <v>0</v>
      </c>
      <c r="I1369" s="5" t="e">
        <f t="shared" si="72"/>
        <v>#N/A</v>
      </c>
    </row>
    <row r="1370" spans="3:9" x14ac:dyDescent="0.2">
      <c r="C1370" t="s">
        <v>7</v>
      </c>
      <c r="F1370" s="2" t="e" cm="1">
        <f t="array" ref="F1370">_xlfn.IFS(B1370="Owner Surrender",E1370,B1370="Stray",E1370+6,B1370="Stray w/identification",E1370+11,B1370="Bite",E1370+10,B1370="Other",Blank)</f>
        <v>#N/A</v>
      </c>
      <c r="H1370" s="5">
        <f t="shared" ref="H1370:H1433" si="73">+G1370-E1370</f>
        <v>0</v>
      </c>
      <c r="I1370" s="5" t="e">
        <f t="shared" ref="I1370:I1433" si="74">G1370-F1370</f>
        <v>#N/A</v>
      </c>
    </row>
    <row r="1371" spans="3:9" x14ac:dyDescent="0.2">
      <c r="C1371" t="s">
        <v>7</v>
      </c>
      <c r="F1371" s="2" t="e" cm="1">
        <f t="array" ref="F1371">_xlfn.IFS(B1371="Owner Surrender",E1371,B1371="Stray",E1371+6,B1371="Stray w/identification",E1371+11,B1371="Bite",E1371+10,B1371="Other",Blank)</f>
        <v>#N/A</v>
      </c>
      <c r="H1371" s="5">
        <f t="shared" si="73"/>
        <v>0</v>
      </c>
      <c r="I1371" s="5" t="e">
        <f t="shared" si="74"/>
        <v>#N/A</v>
      </c>
    </row>
    <row r="1372" spans="3:9" x14ac:dyDescent="0.2">
      <c r="C1372" t="s">
        <v>7</v>
      </c>
      <c r="F1372" s="2" t="e" cm="1">
        <f t="array" ref="F1372">_xlfn.IFS(B1372="Owner Surrender",E1372,B1372="Stray",E1372+6,B1372="Stray w/identification",E1372+11,B1372="Bite",E1372+10,B1372="Other",Blank)</f>
        <v>#N/A</v>
      </c>
      <c r="H1372" s="5">
        <f t="shared" si="73"/>
        <v>0</v>
      </c>
      <c r="I1372" s="5" t="e">
        <f t="shared" si="74"/>
        <v>#N/A</v>
      </c>
    </row>
    <row r="1373" spans="3:9" x14ac:dyDescent="0.2">
      <c r="C1373" t="s">
        <v>7</v>
      </c>
      <c r="F1373" s="2" t="e" cm="1">
        <f t="array" ref="F1373">_xlfn.IFS(B1373="Owner Surrender",E1373,B1373="Stray",E1373+6,B1373="Stray w/identification",E1373+11,B1373="Bite",E1373+10,B1373="Other",Blank)</f>
        <v>#N/A</v>
      </c>
      <c r="H1373" s="5">
        <f t="shared" si="73"/>
        <v>0</v>
      </c>
      <c r="I1373" s="5" t="e">
        <f t="shared" si="74"/>
        <v>#N/A</v>
      </c>
    </row>
    <row r="1374" spans="3:9" x14ac:dyDescent="0.2">
      <c r="C1374" t="s">
        <v>7</v>
      </c>
      <c r="F1374" s="2" t="e" cm="1">
        <f t="array" ref="F1374">_xlfn.IFS(B1374="Owner Surrender",E1374,B1374="Stray",E1374+6,B1374="Stray w/identification",E1374+11,B1374="Bite",E1374+10,B1374="Other",Blank)</f>
        <v>#N/A</v>
      </c>
      <c r="H1374" s="5">
        <f t="shared" si="73"/>
        <v>0</v>
      </c>
      <c r="I1374" s="5" t="e">
        <f t="shared" si="74"/>
        <v>#N/A</v>
      </c>
    </row>
    <row r="1375" spans="3:9" x14ac:dyDescent="0.2">
      <c r="C1375" t="s">
        <v>7</v>
      </c>
      <c r="F1375" s="2" t="e" cm="1">
        <f t="array" ref="F1375">_xlfn.IFS(B1375="Owner Surrender",E1375,B1375="Stray",E1375+6,B1375="Stray w/identification",E1375+11,B1375="Bite",E1375+10,B1375="Other",Blank)</f>
        <v>#N/A</v>
      </c>
      <c r="H1375" s="5">
        <f t="shared" si="73"/>
        <v>0</v>
      </c>
      <c r="I1375" s="5" t="e">
        <f t="shared" si="74"/>
        <v>#N/A</v>
      </c>
    </row>
    <row r="1376" spans="3:9" x14ac:dyDescent="0.2">
      <c r="C1376" t="s">
        <v>7</v>
      </c>
      <c r="F1376" s="2" t="e" cm="1">
        <f t="array" ref="F1376">_xlfn.IFS(B1376="Owner Surrender",E1376,B1376="Stray",E1376+6,B1376="Stray w/identification",E1376+11,B1376="Bite",E1376+10,B1376="Other",Blank)</f>
        <v>#N/A</v>
      </c>
      <c r="H1376" s="5">
        <f t="shared" si="73"/>
        <v>0</v>
      </c>
      <c r="I1376" s="5" t="e">
        <f t="shared" si="74"/>
        <v>#N/A</v>
      </c>
    </row>
    <row r="1377" spans="3:9" x14ac:dyDescent="0.2">
      <c r="C1377" t="s">
        <v>7</v>
      </c>
      <c r="F1377" s="2" t="e" cm="1">
        <f t="array" ref="F1377">_xlfn.IFS(B1377="Owner Surrender",E1377,B1377="Stray",E1377+6,B1377="Stray w/identification",E1377+11,B1377="Bite",E1377+10,B1377="Other",Blank)</f>
        <v>#N/A</v>
      </c>
      <c r="H1377" s="5">
        <f t="shared" si="73"/>
        <v>0</v>
      </c>
      <c r="I1377" s="5" t="e">
        <f t="shared" si="74"/>
        <v>#N/A</v>
      </c>
    </row>
    <row r="1378" spans="3:9" x14ac:dyDescent="0.2">
      <c r="C1378" t="s">
        <v>7</v>
      </c>
      <c r="F1378" s="2" t="e" cm="1">
        <f t="array" ref="F1378">_xlfn.IFS(B1378="Owner Surrender",E1378,B1378="Stray",E1378+6,B1378="Stray w/identification",E1378+11,B1378="Bite",E1378+10,B1378="Other",Blank)</f>
        <v>#N/A</v>
      </c>
      <c r="H1378" s="5">
        <f t="shared" si="73"/>
        <v>0</v>
      </c>
      <c r="I1378" s="5" t="e">
        <f t="shared" si="74"/>
        <v>#N/A</v>
      </c>
    </row>
    <row r="1379" spans="3:9" x14ac:dyDescent="0.2">
      <c r="C1379" t="s">
        <v>7</v>
      </c>
      <c r="F1379" s="2" t="e" cm="1">
        <f t="array" ref="F1379">_xlfn.IFS(B1379="Owner Surrender",E1379,B1379="Stray",E1379+6,B1379="Stray w/identification",E1379+11,B1379="Bite",E1379+10,B1379="Other",Blank)</f>
        <v>#N/A</v>
      </c>
      <c r="H1379" s="5">
        <f t="shared" si="73"/>
        <v>0</v>
      </c>
      <c r="I1379" s="5" t="e">
        <f t="shared" si="74"/>
        <v>#N/A</v>
      </c>
    </row>
    <row r="1380" spans="3:9" x14ac:dyDescent="0.2">
      <c r="C1380" t="s">
        <v>7</v>
      </c>
      <c r="F1380" s="2" t="e" cm="1">
        <f t="array" ref="F1380">_xlfn.IFS(B1380="Owner Surrender",E1380,B1380="Stray",E1380+6,B1380="Stray w/identification",E1380+11,B1380="Bite",E1380+10,B1380="Other",Blank)</f>
        <v>#N/A</v>
      </c>
      <c r="H1380" s="5">
        <f t="shared" si="73"/>
        <v>0</v>
      </c>
      <c r="I1380" s="5" t="e">
        <f t="shared" si="74"/>
        <v>#N/A</v>
      </c>
    </row>
    <row r="1381" spans="3:9" x14ac:dyDescent="0.2">
      <c r="C1381" t="s">
        <v>7</v>
      </c>
      <c r="F1381" s="2" t="e" cm="1">
        <f t="array" ref="F1381">_xlfn.IFS(B1381="Owner Surrender",E1381,B1381="Stray",E1381+6,B1381="Stray w/identification",E1381+11,B1381="Bite",E1381+10,B1381="Other",Blank)</f>
        <v>#N/A</v>
      </c>
      <c r="H1381" s="5">
        <f t="shared" si="73"/>
        <v>0</v>
      </c>
      <c r="I1381" s="5" t="e">
        <f t="shared" si="74"/>
        <v>#N/A</v>
      </c>
    </row>
    <row r="1382" spans="3:9" x14ac:dyDescent="0.2">
      <c r="C1382" t="s">
        <v>7</v>
      </c>
      <c r="F1382" s="2" t="e" cm="1">
        <f t="array" ref="F1382">_xlfn.IFS(B1382="Owner Surrender",E1382,B1382="Stray",E1382+6,B1382="Stray w/identification",E1382+11,B1382="Bite",E1382+10,B1382="Other",Blank)</f>
        <v>#N/A</v>
      </c>
      <c r="H1382" s="5">
        <f t="shared" si="73"/>
        <v>0</v>
      </c>
      <c r="I1382" s="5" t="e">
        <f t="shared" si="74"/>
        <v>#N/A</v>
      </c>
    </row>
    <row r="1383" spans="3:9" x14ac:dyDescent="0.2">
      <c r="C1383" t="s">
        <v>7</v>
      </c>
      <c r="F1383" s="2" t="e" cm="1">
        <f t="array" ref="F1383">_xlfn.IFS(B1383="Owner Surrender",E1383,B1383="Stray",E1383+6,B1383="Stray w/identification",E1383+11,B1383="Bite",E1383+10,B1383="Other",Blank)</f>
        <v>#N/A</v>
      </c>
      <c r="H1383" s="5">
        <f t="shared" si="73"/>
        <v>0</v>
      </c>
      <c r="I1383" s="5" t="e">
        <f t="shared" si="74"/>
        <v>#N/A</v>
      </c>
    </row>
    <row r="1384" spans="3:9" x14ac:dyDescent="0.2">
      <c r="C1384" t="s">
        <v>7</v>
      </c>
      <c r="F1384" s="2" t="e" cm="1">
        <f t="array" ref="F1384">_xlfn.IFS(B1384="Owner Surrender",E1384,B1384="Stray",E1384+6,B1384="Stray w/identification",E1384+11,B1384="Bite",E1384+10,B1384="Other",Blank)</f>
        <v>#N/A</v>
      </c>
      <c r="H1384" s="5">
        <f t="shared" si="73"/>
        <v>0</v>
      </c>
      <c r="I1384" s="5" t="e">
        <f t="shared" si="74"/>
        <v>#N/A</v>
      </c>
    </row>
    <row r="1385" spans="3:9" x14ac:dyDescent="0.2">
      <c r="C1385" t="s">
        <v>7</v>
      </c>
      <c r="F1385" s="2" t="e" cm="1">
        <f t="array" ref="F1385">_xlfn.IFS(B1385="Owner Surrender",E1385,B1385="Stray",E1385+6,B1385="Stray w/identification",E1385+11,B1385="Bite",E1385+10,B1385="Other",Blank)</f>
        <v>#N/A</v>
      </c>
      <c r="H1385" s="5">
        <f t="shared" si="73"/>
        <v>0</v>
      </c>
      <c r="I1385" s="5" t="e">
        <f t="shared" si="74"/>
        <v>#N/A</v>
      </c>
    </row>
    <row r="1386" spans="3:9" x14ac:dyDescent="0.2">
      <c r="C1386" t="s">
        <v>7</v>
      </c>
      <c r="F1386" s="2" t="e" cm="1">
        <f t="array" ref="F1386">_xlfn.IFS(B1386="Owner Surrender",E1386,B1386="Stray",E1386+6,B1386="Stray w/identification",E1386+11,B1386="Bite",E1386+10,B1386="Other",Blank)</f>
        <v>#N/A</v>
      </c>
      <c r="H1386" s="5">
        <f t="shared" si="73"/>
        <v>0</v>
      </c>
      <c r="I1386" s="5" t="e">
        <f t="shared" si="74"/>
        <v>#N/A</v>
      </c>
    </row>
    <row r="1387" spans="3:9" x14ac:dyDescent="0.2">
      <c r="C1387" t="s">
        <v>7</v>
      </c>
      <c r="F1387" s="2" t="e" cm="1">
        <f t="array" ref="F1387">_xlfn.IFS(B1387="Owner Surrender",E1387,B1387="Stray",E1387+6,B1387="Stray w/identification",E1387+11,B1387="Bite",E1387+10,B1387="Other",Blank)</f>
        <v>#N/A</v>
      </c>
      <c r="H1387" s="5">
        <f t="shared" si="73"/>
        <v>0</v>
      </c>
      <c r="I1387" s="5" t="e">
        <f t="shared" si="74"/>
        <v>#N/A</v>
      </c>
    </row>
    <row r="1388" spans="3:9" x14ac:dyDescent="0.2">
      <c r="C1388" t="s">
        <v>7</v>
      </c>
      <c r="F1388" s="2" t="e" cm="1">
        <f t="array" ref="F1388">_xlfn.IFS(B1388="Owner Surrender",E1388,B1388="Stray",E1388+6,B1388="Stray w/identification",E1388+11,B1388="Bite",E1388+10,B1388="Other",Blank)</f>
        <v>#N/A</v>
      </c>
      <c r="H1388" s="5">
        <f t="shared" si="73"/>
        <v>0</v>
      </c>
      <c r="I1388" s="5" t="e">
        <f t="shared" si="74"/>
        <v>#N/A</v>
      </c>
    </row>
    <row r="1389" spans="3:9" x14ac:dyDescent="0.2">
      <c r="C1389" t="s">
        <v>7</v>
      </c>
      <c r="F1389" s="2" t="e" cm="1">
        <f t="array" ref="F1389">_xlfn.IFS(B1389="Owner Surrender",E1389,B1389="Stray",E1389+6,B1389="Stray w/identification",E1389+11,B1389="Bite",E1389+10,B1389="Other",Blank)</f>
        <v>#N/A</v>
      </c>
      <c r="H1389" s="5">
        <f t="shared" si="73"/>
        <v>0</v>
      </c>
      <c r="I1389" s="5" t="e">
        <f t="shared" si="74"/>
        <v>#N/A</v>
      </c>
    </row>
    <row r="1390" spans="3:9" x14ac:dyDescent="0.2">
      <c r="C1390" t="s">
        <v>7</v>
      </c>
      <c r="F1390" s="2" t="e" cm="1">
        <f t="array" ref="F1390">_xlfn.IFS(B1390="Owner Surrender",E1390,B1390="Stray",E1390+6,B1390="Stray w/identification",E1390+11,B1390="Bite",E1390+10,B1390="Other",Blank)</f>
        <v>#N/A</v>
      </c>
      <c r="H1390" s="5">
        <f t="shared" si="73"/>
        <v>0</v>
      </c>
      <c r="I1390" s="5" t="e">
        <f t="shared" si="74"/>
        <v>#N/A</v>
      </c>
    </row>
    <row r="1391" spans="3:9" x14ac:dyDescent="0.2">
      <c r="C1391" t="s">
        <v>7</v>
      </c>
      <c r="F1391" s="2" t="e" cm="1">
        <f t="array" ref="F1391">_xlfn.IFS(B1391="Owner Surrender",E1391,B1391="Stray",E1391+6,B1391="Stray w/identification",E1391+11,B1391="Bite",E1391+10,B1391="Other",Blank)</f>
        <v>#N/A</v>
      </c>
      <c r="H1391" s="5">
        <f t="shared" si="73"/>
        <v>0</v>
      </c>
      <c r="I1391" s="5" t="e">
        <f t="shared" si="74"/>
        <v>#N/A</v>
      </c>
    </row>
    <row r="1392" spans="3:9" x14ac:dyDescent="0.2">
      <c r="C1392" t="s">
        <v>7</v>
      </c>
      <c r="F1392" s="2" t="e" cm="1">
        <f t="array" ref="F1392">_xlfn.IFS(B1392="Owner Surrender",E1392,B1392="Stray",E1392+6,B1392="Stray w/identification",E1392+11,B1392="Bite",E1392+10,B1392="Other",Blank)</f>
        <v>#N/A</v>
      </c>
      <c r="H1392" s="5">
        <f t="shared" si="73"/>
        <v>0</v>
      </c>
      <c r="I1392" s="5" t="e">
        <f t="shared" si="74"/>
        <v>#N/A</v>
      </c>
    </row>
    <row r="1393" spans="3:9" x14ac:dyDescent="0.2">
      <c r="C1393" t="s">
        <v>7</v>
      </c>
      <c r="F1393" s="2" t="e" cm="1">
        <f t="array" ref="F1393">_xlfn.IFS(B1393="Owner Surrender",E1393,B1393="Stray",E1393+6,B1393="Stray w/identification",E1393+11,B1393="Bite",E1393+10,B1393="Other",Blank)</f>
        <v>#N/A</v>
      </c>
      <c r="H1393" s="5">
        <f t="shared" si="73"/>
        <v>0</v>
      </c>
      <c r="I1393" s="5" t="e">
        <f t="shared" si="74"/>
        <v>#N/A</v>
      </c>
    </row>
    <row r="1394" spans="3:9" x14ac:dyDescent="0.2">
      <c r="C1394" t="s">
        <v>7</v>
      </c>
      <c r="F1394" s="2" t="e" cm="1">
        <f t="array" ref="F1394">_xlfn.IFS(B1394="Owner Surrender",E1394,B1394="Stray",E1394+6,B1394="Stray w/identification",E1394+11,B1394="Bite",E1394+10,B1394="Other",Blank)</f>
        <v>#N/A</v>
      </c>
      <c r="H1394" s="5">
        <f t="shared" si="73"/>
        <v>0</v>
      </c>
      <c r="I1394" s="5" t="e">
        <f t="shared" si="74"/>
        <v>#N/A</v>
      </c>
    </row>
    <row r="1395" spans="3:9" x14ac:dyDescent="0.2">
      <c r="C1395" t="s">
        <v>7</v>
      </c>
      <c r="F1395" s="2" t="e" cm="1">
        <f t="array" ref="F1395">_xlfn.IFS(B1395="Owner Surrender",E1395,B1395="Stray",E1395+6,B1395="Stray w/identification",E1395+11,B1395="Bite",E1395+10,B1395="Other",Blank)</f>
        <v>#N/A</v>
      </c>
      <c r="H1395" s="5">
        <f t="shared" si="73"/>
        <v>0</v>
      </c>
      <c r="I1395" s="5" t="e">
        <f t="shared" si="74"/>
        <v>#N/A</v>
      </c>
    </row>
    <row r="1396" spans="3:9" x14ac:dyDescent="0.2">
      <c r="C1396" t="s">
        <v>7</v>
      </c>
      <c r="F1396" s="2" t="e" cm="1">
        <f t="array" ref="F1396">_xlfn.IFS(B1396="Owner Surrender",E1396,B1396="Stray",E1396+6,B1396="Stray w/identification",E1396+11,B1396="Bite",E1396+10,B1396="Other",Blank)</f>
        <v>#N/A</v>
      </c>
      <c r="H1396" s="5">
        <f t="shared" si="73"/>
        <v>0</v>
      </c>
      <c r="I1396" s="5" t="e">
        <f t="shared" si="74"/>
        <v>#N/A</v>
      </c>
    </row>
    <row r="1397" spans="3:9" x14ac:dyDescent="0.2">
      <c r="C1397" t="s">
        <v>7</v>
      </c>
      <c r="F1397" s="2" t="e" cm="1">
        <f t="array" ref="F1397">_xlfn.IFS(B1397="Owner Surrender",E1397,B1397="Stray",E1397+6,B1397="Stray w/identification",E1397+11,B1397="Bite",E1397+10,B1397="Other",Blank)</f>
        <v>#N/A</v>
      </c>
      <c r="H1397" s="5">
        <f t="shared" si="73"/>
        <v>0</v>
      </c>
      <c r="I1397" s="5" t="e">
        <f t="shared" si="74"/>
        <v>#N/A</v>
      </c>
    </row>
    <row r="1398" spans="3:9" x14ac:dyDescent="0.2">
      <c r="C1398" t="s">
        <v>7</v>
      </c>
      <c r="F1398" s="2" t="e" cm="1">
        <f t="array" ref="F1398">_xlfn.IFS(B1398="Owner Surrender",E1398,B1398="Stray",E1398+6,B1398="Stray w/identification",E1398+11,B1398="Bite",E1398+10,B1398="Other",Blank)</f>
        <v>#N/A</v>
      </c>
      <c r="H1398" s="5">
        <f t="shared" si="73"/>
        <v>0</v>
      </c>
      <c r="I1398" s="5" t="e">
        <f t="shared" si="74"/>
        <v>#N/A</v>
      </c>
    </row>
    <row r="1399" spans="3:9" x14ac:dyDescent="0.2">
      <c r="C1399" t="s">
        <v>7</v>
      </c>
      <c r="F1399" s="2" t="e" cm="1">
        <f t="array" ref="F1399">_xlfn.IFS(B1399="Owner Surrender",E1399,B1399="Stray",E1399+6,B1399="Stray w/identification",E1399+11,B1399="Bite",E1399+10,B1399="Other",Blank)</f>
        <v>#N/A</v>
      </c>
      <c r="H1399" s="5">
        <f t="shared" si="73"/>
        <v>0</v>
      </c>
      <c r="I1399" s="5" t="e">
        <f t="shared" si="74"/>
        <v>#N/A</v>
      </c>
    </row>
    <row r="1400" spans="3:9" x14ac:dyDescent="0.2">
      <c r="C1400" t="s">
        <v>7</v>
      </c>
      <c r="F1400" s="2" t="e" cm="1">
        <f t="array" ref="F1400">_xlfn.IFS(B1400="Owner Surrender",E1400,B1400="Stray",E1400+6,B1400="Stray w/identification",E1400+11,B1400="Bite",E1400+10,B1400="Other",Blank)</f>
        <v>#N/A</v>
      </c>
      <c r="H1400" s="5">
        <f t="shared" si="73"/>
        <v>0</v>
      </c>
      <c r="I1400" s="5" t="e">
        <f t="shared" si="74"/>
        <v>#N/A</v>
      </c>
    </row>
    <row r="1401" spans="3:9" x14ac:dyDescent="0.2">
      <c r="C1401" t="s">
        <v>7</v>
      </c>
      <c r="F1401" s="2" t="e" cm="1">
        <f t="array" ref="F1401">_xlfn.IFS(B1401="Owner Surrender",E1401,B1401="Stray",E1401+6,B1401="Stray w/identification",E1401+11,B1401="Bite",E1401+10,B1401="Other",Blank)</f>
        <v>#N/A</v>
      </c>
      <c r="H1401" s="5">
        <f t="shared" si="73"/>
        <v>0</v>
      </c>
      <c r="I1401" s="5" t="e">
        <f t="shared" si="74"/>
        <v>#N/A</v>
      </c>
    </row>
    <row r="1402" spans="3:9" x14ac:dyDescent="0.2">
      <c r="C1402" t="s">
        <v>7</v>
      </c>
      <c r="F1402" s="2" t="e" cm="1">
        <f t="array" ref="F1402">_xlfn.IFS(B1402="Owner Surrender",E1402,B1402="Stray",E1402+6,B1402="Stray w/identification",E1402+11,B1402="Bite",E1402+10,B1402="Other",Blank)</f>
        <v>#N/A</v>
      </c>
      <c r="H1402" s="5">
        <f t="shared" si="73"/>
        <v>0</v>
      </c>
      <c r="I1402" s="5" t="e">
        <f t="shared" si="74"/>
        <v>#N/A</v>
      </c>
    </row>
    <row r="1403" spans="3:9" x14ac:dyDescent="0.2">
      <c r="C1403" t="s">
        <v>7</v>
      </c>
      <c r="F1403" s="2" t="e" cm="1">
        <f t="array" ref="F1403">_xlfn.IFS(B1403="Owner Surrender",E1403,B1403="Stray",E1403+6,B1403="Stray w/identification",E1403+11,B1403="Bite",E1403+10,B1403="Other",Blank)</f>
        <v>#N/A</v>
      </c>
      <c r="H1403" s="5">
        <f t="shared" si="73"/>
        <v>0</v>
      </c>
      <c r="I1403" s="5" t="e">
        <f t="shared" si="74"/>
        <v>#N/A</v>
      </c>
    </row>
    <row r="1404" spans="3:9" x14ac:dyDescent="0.2">
      <c r="C1404" t="s">
        <v>7</v>
      </c>
      <c r="F1404" s="2" t="e" cm="1">
        <f t="array" ref="F1404">_xlfn.IFS(B1404="Owner Surrender",E1404,B1404="Stray",E1404+6,B1404="Stray w/identification",E1404+11,B1404="Bite",E1404+10,B1404="Other",Blank)</f>
        <v>#N/A</v>
      </c>
      <c r="H1404" s="5">
        <f t="shared" si="73"/>
        <v>0</v>
      </c>
      <c r="I1404" s="5" t="e">
        <f t="shared" si="74"/>
        <v>#N/A</v>
      </c>
    </row>
    <row r="1405" spans="3:9" x14ac:dyDescent="0.2">
      <c r="C1405" t="s">
        <v>7</v>
      </c>
      <c r="F1405" s="2" t="e" cm="1">
        <f t="array" ref="F1405">_xlfn.IFS(B1405="Owner Surrender",E1405,B1405="Stray",E1405+6,B1405="Stray w/identification",E1405+11,B1405="Bite",E1405+10,B1405="Other",Blank)</f>
        <v>#N/A</v>
      </c>
      <c r="H1405" s="5">
        <f t="shared" si="73"/>
        <v>0</v>
      </c>
      <c r="I1405" s="5" t="e">
        <f t="shared" si="74"/>
        <v>#N/A</v>
      </c>
    </row>
    <row r="1406" spans="3:9" x14ac:dyDescent="0.2">
      <c r="C1406" t="s">
        <v>7</v>
      </c>
      <c r="F1406" s="2" t="e" cm="1">
        <f t="array" ref="F1406">_xlfn.IFS(B1406="Owner Surrender",E1406,B1406="Stray",E1406+6,B1406="Stray w/identification",E1406+11,B1406="Bite",E1406+10,B1406="Other",Blank)</f>
        <v>#N/A</v>
      </c>
      <c r="H1406" s="5">
        <f t="shared" si="73"/>
        <v>0</v>
      </c>
      <c r="I1406" s="5" t="e">
        <f t="shared" si="74"/>
        <v>#N/A</v>
      </c>
    </row>
    <row r="1407" spans="3:9" x14ac:dyDescent="0.2">
      <c r="C1407" t="s">
        <v>7</v>
      </c>
      <c r="F1407" s="2" t="e" cm="1">
        <f t="array" ref="F1407">_xlfn.IFS(B1407="Owner Surrender",E1407,B1407="Stray",E1407+6,B1407="Stray w/identification",E1407+11,B1407="Bite",E1407+10,B1407="Other",Blank)</f>
        <v>#N/A</v>
      </c>
      <c r="H1407" s="5">
        <f t="shared" si="73"/>
        <v>0</v>
      </c>
      <c r="I1407" s="5" t="e">
        <f t="shared" si="74"/>
        <v>#N/A</v>
      </c>
    </row>
    <row r="1408" spans="3:9" x14ac:dyDescent="0.2">
      <c r="C1408" t="s">
        <v>7</v>
      </c>
      <c r="F1408" s="2" t="e" cm="1">
        <f t="array" ref="F1408">_xlfn.IFS(B1408="Owner Surrender",E1408,B1408="Stray",E1408+6,B1408="Stray w/identification",E1408+11,B1408="Bite",E1408+10,B1408="Other",Blank)</f>
        <v>#N/A</v>
      </c>
      <c r="H1408" s="5">
        <f t="shared" si="73"/>
        <v>0</v>
      </c>
      <c r="I1408" s="5" t="e">
        <f t="shared" si="74"/>
        <v>#N/A</v>
      </c>
    </row>
    <row r="1409" spans="3:9" x14ac:dyDescent="0.2">
      <c r="C1409" t="s">
        <v>7</v>
      </c>
      <c r="F1409" s="2" t="e" cm="1">
        <f t="array" ref="F1409">_xlfn.IFS(B1409="Owner Surrender",E1409,B1409="Stray",E1409+6,B1409="Stray w/identification",E1409+11,B1409="Bite",E1409+10,B1409="Other",Blank)</f>
        <v>#N/A</v>
      </c>
      <c r="H1409" s="5">
        <f t="shared" si="73"/>
        <v>0</v>
      </c>
      <c r="I1409" s="5" t="e">
        <f t="shared" si="74"/>
        <v>#N/A</v>
      </c>
    </row>
    <row r="1410" spans="3:9" x14ac:dyDescent="0.2">
      <c r="C1410" t="s">
        <v>7</v>
      </c>
      <c r="F1410" s="2" t="e" cm="1">
        <f t="array" ref="F1410">_xlfn.IFS(B1410="Owner Surrender",E1410,B1410="Stray",E1410+6,B1410="Stray w/identification",E1410+11,B1410="Bite",E1410+10,B1410="Other",Blank)</f>
        <v>#N/A</v>
      </c>
      <c r="H1410" s="5">
        <f t="shared" si="73"/>
        <v>0</v>
      </c>
      <c r="I1410" s="5" t="e">
        <f t="shared" si="74"/>
        <v>#N/A</v>
      </c>
    </row>
    <row r="1411" spans="3:9" x14ac:dyDescent="0.2">
      <c r="C1411" t="s">
        <v>7</v>
      </c>
      <c r="F1411" s="2" t="e" cm="1">
        <f t="array" ref="F1411">_xlfn.IFS(B1411="Owner Surrender",E1411,B1411="Stray",E1411+6,B1411="Stray w/identification",E1411+11,B1411="Bite",E1411+10,B1411="Other",Blank)</f>
        <v>#N/A</v>
      </c>
      <c r="H1411" s="5">
        <f t="shared" si="73"/>
        <v>0</v>
      </c>
      <c r="I1411" s="5" t="e">
        <f t="shared" si="74"/>
        <v>#N/A</v>
      </c>
    </row>
    <row r="1412" spans="3:9" x14ac:dyDescent="0.2">
      <c r="C1412" t="s">
        <v>7</v>
      </c>
      <c r="F1412" s="2" t="e" cm="1">
        <f t="array" ref="F1412">_xlfn.IFS(B1412="Owner Surrender",E1412,B1412="Stray",E1412+6,B1412="Stray w/identification",E1412+11,B1412="Bite",E1412+10,B1412="Other",Blank)</f>
        <v>#N/A</v>
      </c>
      <c r="H1412" s="5">
        <f t="shared" si="73"/>
        <v>0</v>
      </c>
      <c r="I1412" s="5" t="e">
        <f t="shared" si="74"/>
        <v>#N/A</v>
      </c>
    </row>
    <row r="1413" spans="3:9" x14ac:dyDescent="0.2">
      <c r="C1413" t="s">
        <v>7</v>
      </c>
      <c r="F1413" s="2" t="e" cm="1">
        <f t="array" ref="F1413">_xlfn.IFS(B1413="Owner Surrender",E1413,B1413="Stray",E1413+6,B1413="Stray w/identification",E1413+11,B1413="Bite",E1413+10,B1413="Other",Blank)</f>
        <v>#N/A</v>
      </c>
      <c r="H1413" s="5">
        <f t="shared" si="73"/>
        <v>0</v>
      </c>
      <c r="I1413" s="5" t="e">
        <f t="shared" si="74"/>
        <v>#N/A</v>
      </c>
    </row>
    <row r="1414" spans="3:9" x14ac:dyDescent="0.2">
      <c r="C1414" t="s">
        <v>7</v>
      </c>
      <c r="F1414" s="2" t="e" cm="1">
        <f t="array" ref="F1414">_xlfn.IFS(B1414="Owner Surrender",E1414,B1414="Stray",E1414+6,B1414="Stray w/identification",E1414+11,B1414="Bite",E1414+10,B1414="Other",Blank)</f>
        <v>#N/A</v>
      </c>
      <c r="H1414" s="5">
        <f t="shared" si="73"/>
        <v>0</v>
      </c>
      <c r="I1414" s="5" t="e">
        <f t="shared" si="74"/>
        <v>#N/A</v>
      </c>
    </row>
    <row r="1415" spans="3:9" x14ac:dyDescent="0.2">
      <c r="C1415" t="s">
        <v>7</v>
      </c>
      <c r="F1415" s="2" t="e" cm="1">
        <f t="array" ref="F1415">_xlfn.IFS(B1415="Owner Surrender",E1415,B1415="Stray",E1415+6,B1415="Stray w/identification",E1415+11,B1415="Bite",E1415+10,B1415="Other",Blank)</f>
        <v>#N/A</v>
      </c>
      <c r="H1415" s="5">
        <f t="shared" si="73"/>
        <v>0</v>
      </c>
      <c r="I1415" s="5" t="e">
        <f t="shared" si="74"/>
        <v>#N/A</v>
      </c>
    </row>
    <row r="1416" spans="3:9" x14ac:dyDescent="0.2">
      <c r="C1416" t="s">
        <v>7</v>
      </c>
      <c r="F1416" s="2" t="e" cm="1">
        <f t="array" ref="F1416">_xlfn.IFS(B1416="Owner Surrender",E1416,B1416="Stray",E1416+6,B1416="Stray w/identification",E1416+11,B1416="Bite",E1416+10,B1416="Other",Blank)</f>
        <v>#N/A</v>
      </c>
      <c r="H1416" s="5">
        <f t="shared" si="73"/>
        <v>0</v>
      </c>
      <c r="I1416" s="5" t="e">
        <f t="shared" si="74"/>
        <v>#N/A</v>
      </c>
    </row>
    <row r="1417" spans="3:9" x14ac:dyDescent="0.2">
      <c r="C1417" t="s">
        <v>7</v>
      </c>
      <c r="F1417" s="2" t="e" cm="1">
        <f t="array" ref="F1417">_xlfn.IFS(B1417="Owner Surrender",E1417,B1417="Stray",E1417+6,B1417="Stray w/identification",E1417+11,B1417="Bite",E1417+10,B1417="Other",Blank)</f>
        <v>#N/A</v>
      </c>
      <c r="H1417" s="5">
        <f t="shared" si="73"/>
        <v>0</v>
      </c>
      <c r="I1417" s="5" t="e">
        <f t="shared" si="74"/>
        <v>#N/A</v>
      </c>
    </row>
    <row r="1418" spans="3:9" x14ac:dyDescent="0.2">
      <c r="C1418" t="s">
        <v>7</v>
      </c>
      <c r="F1418" s="2" t="e" cm="1">
        <f t="array" ref="F1418">_xlfn.IFS(B1418="Owner Surrender",E1418,B1418="Stray",E1418+6,B1418="Stray w/identification",E1418+11,B1418="Bite",E1418+10,B1418="Other",Blank)</f>
        <v>#N/A</v>
      </c>
      <c r="H1418" s="5">
        <f t="shared" si="73"/>
        <v>0</v>
      </c>
      <c r="I1418" s="5" t="e">
        <f t="shared" si="74"/>
        <v>#N/A</v>
      </c>
    </row>
    <row r="1419" spans="3:9" x14ac:dyDescent="0.2">
      <c r="C1419" t="s">
        <v>7</v>
      </c>
      <c r="F1419" s="2" t="e" cm="1">
        <f t="array" ref="F1419">_xlfn.IFS(B1419="Owner Surrender",E1419,B1419="Stray",E1419+6,B1419="Stray w/identification",E1419+11,B1419="Bite",E1419+10,B1419="Other",Blank)</f>
        <v>#N/A</v>
      </c>
      <c r="H1419" s="5">
        <f t="shared" si="73"/>
        <v>0</v>
      </c>
      <c r="I1419" s="5" t="e">
        <f t="shared" si="74"/>
        <v>#N/A</v>
      </c>
    </row>
    <row r="1420" spans="3:9" x14ac:dyDescent="0.2">
      <c r="C1420" t="s">
        <v>7</v>
      </c>
      <c r="F1420" s="2" t="e" cm="1">
        <f t="array" ref="F1420">_xlfn.IFS(B1420="Owner Surrender",E1420,B1420="Stray",E1420+6,B1420="Stray w/identification",E1420+11,B1420="Bite",E1420+10,B1420="Other",Blank)</f>
        <v>#N/A</v>
      </c>
      <c r="H1420" s="5">
        <f t="shared" si="73"/>
        <v>0</v>
      </c>
      <c r="I1420" s="5" t="e">
        <f t="shared" si="74"/>
        <v>#N/A</v>
      </c>
    </row>
    <row r="1421" spans="3:9" x14ac:dyDescent="0.2">
      <c r="C1421" t="s">
        <v>7</v>
      </c>
      <c r="F1421" s="2" t="e" cm="1">
        <f t="array" ref="F1421">_xlfn.IFS(B1421="Owner Surrender",E1421,B1421="Stray",E1421+6,B1421="Stray w/identification",E1421+11,B1421="Bite",E1421+10,B1421="Other",Blank)</f>
        <v>#N/A</v>
      </c>
      <c r="H1421" s="5">
        <f t="shared" si="73"/>
        <v>0</v>
      </c>
      <c r="I1421" s="5" t="e">
        <f t="shared" si="74"/>
        <v>#N/A</v>
      </c>
    </row>
    <row r="1422" spans="3:9" x14ac:dyDescent="0.2">
      <c r="C1422" t="s">
        <v>7</v>
      </c>
      <c r="F1422" s="2" t="e" cm="1">
        <f t="array" ref="F1422">_xlfn.IFS(B1422="Owner Surrender",E1422,B1422="Stray",E1422+6,B1422="Stray w/identification",E1422+11,B1422="Bite",E1422+10,B1422="Other",Blank)</f>
        <v>#N/A</v>
      </c>
      <c r="H1422" s="5">
        <f t="shared" si="73"/>
        <v>0</v>
      </c>
      <c r="I1422" s="5" t="e">
        <f t="shared" si="74"/>
        <v>#N/A</v>
      </c>
    </row>
    <row r="1423" spans="3:9" x14ac:dyDescent="0.2">
      <c r="C1423" t="s">
        <v>7</v>
      </c>
      <c r="F1423" s="2" t="e" cm="1">
        <f t="array" ref="F1423">_xlfn.IFS(B1423="Owner Surrender",E1423,B1423="Stray",E1423+6,B1423="Stray w/identification",E1423+11,B1423="Bite",E1423+10,B1423="Other",Blank)</f>
        <v>#N/A</v>
      </c>
      <c r="H1423" s="5">
        <f t="shared" si="73"/>
        <v>0</v>
      </c>
      <c r="I1423" s="5" t="e">
        <f t="shared" si="74"/>
        <v>#N/A</v>
      </c>
    </row>
    <row r="1424" spans="3:9" x14ac:dyDescent="0.2">
      <c r="C1424" t="s">
        <v>7</v>
      </c>
      <c r="F1424" s="2" t="e" cm="1">
        <f t="array" ref="F1424">_xlfn.IFS(B1424="Owner Surrender",E1424,B1424="Stray",E1424+6,B1424="Stray w/identification",E1424+11,B1424="Bite",E1424+10,B1424="Other",Blank)</f>
        <v>#N/A</v>
      </c>
      <c r="H1424" s="5">
        <f t="shared" si="73"/>
        <v>0</v>
      </c>
      <c r="I1424" s="5" t="e">
        <f t="shared" si="74"/>
        <v>#N/A</v>
      </c>
    </row>
    <row r="1425" spans="3:9" x14ac:dyDescent="0.2">
      <c r="C1425" t="s">
        <v>7</v>
      </c>
      <c r="F1425" s="2" t="e" cm="1">
        <f t="array" ref="F1425">_xlfn.IFS(B1425="Owner Surrender",E1425,B1425="Stray",E1425+6,B1425="Stray w/identification",E1425+11,B1425="Bite",E1425+10,B1425="Other",Blank)</f>
        <v>#N/A</v>
      </c>
      <c r="H1425" s="5">
        <f t="shared" si="73"/>
        <v>0</v>
      </c>
      <c r="I1425" s="5" t="e">
        <f t="shared" si="74"/>
        <v>#N/A</v>
      </c>
    </row>
    <row r="1426" spans="3:9" x14ac:dyDescent="0.2">
      <c r="C1426" t="s">
        <v>7</v>
      </c>
      <c r="F1426" s="2" t="e" cm="1">
        <f t="array" ref="F1426">_xlfn.IFS(B1426="Owner Surrender",E1426,B1426="Stray",E1426+6,B1426="Stray w/identification",E1426+11,B1426="Bite",E1426+10,B1426="Other",Blank)</f>
        <v>#N/A</v>
      </c>
      <c r="H1426" s="5">
        <f t="shared" si="73"/>
        <v>0</v>
      </c>
      <c r="I1426" s="5" t="e">
        <f t="shared" si="74"/>
        <v>#N/A</v>
      </c>
    </row>
    <row r="1427" spans="3:9" x14ac:dyDescent="0.2">
      <c r="C1427" t="s">
        <v>7</v>
      </c>
      <c r="F1427" s="2" t="e" cm="1">
        <f t="array" ref="F1427">_xlfn.IFS(B1427="Owner Surrender",E1427,B1427="Stray",E1427+6,B1427="Stray w/identification",E1427+11,B1427="Bite",E1427+10,B1427="Other",Blank)</f>
        <v>#N/A</v>
      </c>
      <c r="H1427" s="5">
        <f t="shared" si="73"/>
        <v>0</v>
      </c>
      <c r="I1427" s="5" t="e">
        <f t="shared" si="74"/>
        <v>#N/A</v>
      </c>
    </row>
    <row r="1428" spans="3:9" x14ac:dyDescent="0.2">
      <c r="C1428" t="s">
        <v>7</v>
      </c>
      <c r="F1428" s="2" t="e" cm="1">
        <f t="array" ref="F1428">_xlfn.IFS(B1428="Owner Surrender",E1428,B1428="Stray",E1428+6,B1428="Stray w/identification",E1428+11,B1428="Bite",E1428+10,B1428="Other",Blank)</f>
        <v>#N/A</v>
      </c>
      <c r="H1428" s="5">
        <f t="shared" si="73"/>
        <v>0</v>
      </c>
      <c r="I1428" s="5" t="e">
        <f t="shared" si="74"/>
        <v>#N/A</v>
      </c>
    </row>
    <row r="1429" spans="3:9" x14ac:dyDescent="0.2">
      <c r="C1429" t="s">
        <v>7</v>
      </c>
      <c r="F1429" s="2" t="e" cm="1">
        <f t="array" ref="F1429">_xlfn.IFS(B1429="Owner Surrender",E1429,B1429="Stray",E1429+6,B1429="Stray w/identification",E1429+11,B1429="Bite",E1429+10,B1429="Other",Blank)</f>
        <v>#N/A</v>
      </c>
      <c r="H1429" s="5">
        <f t="shared" si="73"/>
        <v>0</v>
      </c>
      <c r="I1429" s="5" t="e">
        <f t="shared" si="74"/>
        <v>#N/A</v>
      </c>
    </row>
    <row r="1430" spans="3:9" x14ac:dyDescent="0.2">
      <c r="C1430" t="s">
        <v>7</v>
      </c>
      <c r="F1430" s="2" t="e" cm="1">
        <f t="array" ref="F1430">_xlfn.IFS(B1430="Owner Surrender",E1430,B1430="Stray",E1430+6,B1430="Stray w/identification",E1430+11,B1430="Bite",E1430+10,B1430="Other",Blank)</f>
        <v>#N/A</v>
      </c>
      <c r="H1430" s="5">
        <f t="shared" si="73"/>
        <v>0</v>
      </c>
      <c r="I1430" s="5" t="e">
        <f t="shared" si="74"/>
        <v>#N/A</v>
      </c>
    </row>
    <row r="1431" spans="3:9" x14ac:dyDescent="0.2">
      <c r="C1431" t="s">
        <v>7</v>
      </c>
      <c r="F1431" s="2" t="e" cm="1">
        <f t="array" ref="F1431">_xlfn.IFS(B1431="Owner Surrender",E1431,B1431="Stray",E1431+6,B1431="Stray w/identification",E1431+11,B1431="Bite",E1431+10,B1431="Other",Blank)</f>
        <v>#N/A</v>
      </c>
      <c r="H1431" s="5">
        <f t="shared" si="73"/>
        <v>0</v>
      </c>
      <c r="I1431" s="5" t="e">
        <f t="shared" si="74"/>
        <v>#N/A</v>
      </c>
    </row>
    <row r="1432" spans="3:9" x14ac:dyDescent="0.2">
      <c r="C1432" t="s">
        <v>7</v>
      </c>
      <c r="F1432" s="2" t="e" cm="1">
        <f t="array" ref="F1432">_xlfn.IFS(B1432="Owner Surrender",E1432,B1432="Stray",E1432+6,B1432="Stray w/identification",E1432+11,B1432="Bite",E1432+10,B1432="Other",Blank)</f>
        <v>#N/A</v>
      </c>
      <c r="H1432" s="5">
        <f t="shared" si="73"/>
        <v>0</v>
      </c>
      <c r="I1432" s="5" t="e">
        <f t="shared" si="74"/>
        <v>#N/A</v>
      </c>
    </row>
    <row r="1433" spans="3:9" x14ac:dyDescent="0.2">
      <c r="C1433" t="s">
        <v>7</v>
      </c>
      <c r="F1433" s="2" t="e" cm="1">
        <f t="array" ref="F1433">_xlfn.IFS(B1433="Owner Surrender",E1433,B1433="Stray",E1433+6,B1433="Stray w/identification",E1433+11,B1433="Bite",E1433+10,B1433="Other",Blank)</f>
        <v>#N/A</v>
      </c>
      <c r="H1433" s="5">
        <f t="shared" si="73"/>
        <v>0</v>
      </c>
      <c r="I1433" s="5" t="e">
        <f t="shared" si="74"/>
        <v>#N/A</v>
      </c>
    </row>
    <row r="1434" spans="3:9" x14ac:dyDescent="0.2">
      <c r="C1434" t="s">
        <v>7</v>
      </c>
      <c r="F1434" s="2" t="e" cm="1">
        <f t="array" ref="F1434">_xlfn.IFS(B1434="Owner Surrender",E1434,B1434="Stray",E1434+6,B1434="Stray w/identification",E1434+11,B1434="Bite",E1434+10,B1434="Other",Blank)</f>
        <v>#N/A</v>
      </c>
      <c r="H1434" s="5">
        <f t="shared" ref="H1434:H1450" si="75">+G1434-E1434</f>
        <v>0</v>
      </c>
      <c r="I1434" s="5" t="e">
        <f t="shared" ref="I1434:I1450" si="76">G1434-F1434</f>
        <v>#N/A</v>
      </c>
    </row>
    <row r="1435" spans="3:9" x14ac:dyDescent="0.2">
      <c r="C1435" t="s">
        <v>7</v>
      </c>
      <c r="F1435" s="2" t="e" cm="1">
        <f t="array" ref="F1435">_xlfn.IFS(B1435="Owner Surrender",E1435,B1435="Stray",E1435+6,B1435="Stray w/identification",E1435+11,B1435="Bite",E1435+10,B1435="Other",Blank)</f>
        <v>#N/A</v>
      </c>
      <c r="H1435" s="5">
        <f t="shared" si="75"/>
        <v>0</v>
      </c>
      <c r="I1435" s="5" t="e">
        <f t="shared" si="76"/>
        <v>#N/A</v>
      </c>
    </row>
    <row r="1436" spans="3:9" x14ac:dyDescent="0.2">
      <c r="C1436" t="s">
        <v>7</v>
      </c>
      <c r="F1436" s="2" t="e" cm="1">
        <f t="array" ref="F1436">_xlfn.IFS(B1436="Owner Surrender",E1436,B1436="Stray",E1436+6,B1436="Stray w/identification",E1436+11,B1436="Bite",E1436+10,B1436="Other",Blank)</f>
        <v>#N/A</v>
      </c>
      <c r="H1436" s="5">
        <f t="shared" si="75"/>
        <v>0</v>
      </c>
      <c r="I1436" s="5" t="e">
        <f t="shared" si="76"/>
        <v>#N/A</v>
      </c>
    </row>
    <row r="1437" spans="3:9" x14ac:dyDescent="0.2">
      <c r="C1437" t="s">
        <v>7</v>
      </c>
      <c r="F1437" s="2" t="e" cm="1">
        <f t="array" ref="F1437">_xlfn.IFS(B1437="Owner Surrender",E1437,B1437="Stray",E1437+6,B1437="Stray w/identification",E1437+11,B1437="Bite",E1437+10,B1437="Other",Blank)</f>
        <v>#N/A</v>
      </c>
      <c r="H1437" s="5">
        <f t="shared" si="75"/>
        <v>0</v>
      </c>
      <c r="I1437" s="5" t="e">
        <f t="shared" si="76"/>
        <v>#N/A</v>
      </c>
    </row>
    <row r="1438" spans="3:9" x14ac:dyDescent="0.2">
      <c r="C1438" t="s">
        <v>7</v>
      </c>
      <c r="F1438" s="2" t="e" cm="1">
        <f t="array" ref="F1438">_xlfn.IFS(B1438="Owner Surrender",E1438,B1438="Stray",E1438+6,B1438="Stray w/identification",E1438+11,B1438="Bite",E1438+10,B1438="Other",Blank)</f>
        <v>#N/A</v>
      </c>
      <c r="H1438" s="5">
        <f t="shared" si="75"/>
        <v>0</v>
      </c>
      <c r="I1438" s="5" t="e">
        <f t="shared" si="76"/>
        <v>#N/A</v>
      </c>
    </row>
    <row r="1439" spans="3:9" x14ac:dyDescent="0.2">
      <c r="C1439" t="s">
        <v>7</v>
      </c>
      <c r="F1439" s="2" t="e" cm="1">
        <f t="array" ref="F1439">_xlfn.IFS(B1439="Owner Surrender",E1439,B1439="Stray",E1439+6,B1439="Stray w/identification",E1439+11,B1439="Bite",E1439+10,B1439="Other",Blank)</f>
        <v>#N/A</v>
      </c>
      <c r="H1439" s="5">
        <f t="shared" si="75"/>
        <v>0</v>
      </c>
      <c r="I1439" s="5" t="e">
        <f t="shared" si="76"/>
        <v>#N/A</v>
      </c>
    </row>
    <row r="1440" spans="3:9" x14ac:dyDescent="0.2">
      <c r="C1440" t="s">
        <v>7</v>
      </c>
      <c r="F1440" s="2" t="e" cm="1">
        <f t="array" ref="F1440">_xlfn.IFS(B1440="Owner Surrender",E1440,B1440="Stray",E1440+6,B1440="Stray w/identification",E1440+11,B1440="Bite",E1440+10,B1440="Other",Blank)</f>
        <v>#N/A</v>
      </c>
      <c r="H1440" s="5">
        <f t="shared" si="75"/>
        <v>0</v>
      </c>
      <c r="I1440" s="5" t="e">
        <f t="shared" si="76"/>
        <v>#N/A</v>
      </c>
    </row>
    <row r="1441" spans="3:9" x14ac:dyDescent="0.2">
      <c r="C1441" t="s">
        <v>7</v>
      </c>
      <c r="F1441" s="2" t="e" cm="1">
        <f t="array" ref="F1441">_xlfn.IFS(B1441="Owner Surrender",E1441,B1441="Stray",E1441+6,B1441="Stray w/identification",E1441+11,B1441="Bite",E1441+10,B1441="Other",Blank)</f>
        <v>#N/A</v>
      </c>
      <c r="H1441" s="5">
        <f t="shared" si="75"/>
        <v>0</v>
      </c>
      <c r="I1441" s="5" t="e">
        <f t="shared" si="76"/>
        <v>#N/A</v>
      </c>
    </row>
    <row r="1442" spans="3:9" x14ac:dyDescent="0.2">
      <c r="C1442" t="s">
        <v>7</v>
      </c>
      <c r="F1442" s="2" t="e" cm="1">
        <f t="array" ref="F1442">_xlfn.IFS(B1442="Owner Surrender",E1442,B1442="Stray",E1442+6,B1442="Stray w/identification",E1442+11,B1442="Bite",E1442+10,B1442="Other",Blank)</f>
        <v>#N/A</v>
      </c>
      <c r="H1442" s="5">
        <f t="shared" si="75"/>
        <v>0</v>
      </c>
      <c r="I1442" s="5" t="e">
        <f t="shared" si="76"/>
        <v>#N/A</v>
      </c>
    </row>
    <row r="1443" spans="3:9" x14ac:dyDescent="0.2">
      <c r="C1443" t="s">
        <v>7</v>
      </c>
      <c r="F1443" s="2" t="e" cm="1">
        <f t="array" ref="F1443">_xlfn.IFS(B1443="Owner Surrender",E1443,B1443="Stray",E1443+6,B1443="Stray w/identification",E1443+11,B1443="Bite",E1443+10,B1443="Other",Blank)</f>
        <v>#N/A</v>
      </c>
      <c r="H1443" s="5">
        <f t="shared" si="75"/>
        <v>0</v>
      </c>
      <c r="I1443" s="5" t="e">
        <f t="shared" si="76"/>
        <v>#N/A</v>
      </c>
    </row>
    <row r="1444" spans="3:9" x14ac:dyDescent="0.2">
      <c r="C1444" t="s">
        <v>7</v>
      </c>
      <c r="F1444" s="2" t="e" cm="1">
        <f t="array" ref="F1444">_xlfn.IFS(B1444="Owner Surrender",E1444,B1444="Stray",E1444+6,B1444="Stray w/identification",E1444+11,B1444="Bite",E1444+10,B1444="Other",Blank)</f>
        <v>#N/A</v>
      </c>
      <c r="H1444" s="5">
        <f t="shared" si="75"/>
        <v>0</v>
      </c>
      <c r="I1444" s="5" t="e">
        <f t="shared" si="76"/>
        <v>#N/A</v>
      </c>
    </row>
    <row r="1445" spans="3:9" x14ac:dyDescent="0.2">
      <c r="C1445" t="s">
        <v>7</v>
      </c>
      <c r="F1445" s="2" t="e" cm="1">
        <f t="array" ref="F1445">_xlfn.IFS(B1445="Owner Surrender",E1445,B1445="Stray",E1445+6,B1445="Stray w/identification",E1445+11,B1445="Bite",E1445+10,B1445="Other",Blank)</f>
        <v>#N/A</v>
      </c>
      <c r="H1445" s="5">
        <f t="shared" si="75"/>
        <v>0</v>
      </c>
      <c r="I1445" s="5" t="e">
        <f t="shared" si="76"/>
        <v>#N/A</v>
      </c>
    </row>
    <row r="1446" spans="3:9" x14ac:dyDescent="0.2">
      <c r="C1446" t="s">
        <v>7</v>
      </c>
      <c r="F1446" s="2" t="e" cm="1">
        <f t="array" ref="F1446">_xlfn.IFS(B1446="Owner Surrender",E1446,B1446="Stray",E1446+6,B1446="Stray w/identification",E1446+11,B1446="Bite",E1446+10,B1446="Other",Blank)</f>
        <v>#N/A</v>
      </c>
      <c r="H1446" s="5">
        <f t="shared" si="75"/>
        <v>0</v>
      </c>
      <c r="I1446" s="5" t="e">
        <f t="shared" si="76"/>
        <v>#N/A</v>
      </c>
    </row>
    <row r="1447" spans="3:9" x14ac:dyDescent="0.2">
      <c r="C1447" t="s">
        <v>7</v>
      </c>
      <c r="F1447" s="2" t="e" cm="1">
        <f t="array" ref="F1447">_xlfn.IFS(B1447="Owner Surrender",E1447,B1447="Stray",E1447+6,B1447="Stray w/identification",E1447+11,B1447="Bite",E1447+10,B1447="Other",Blank)</f>
        <v>#N/A</v>
      </c>
      <c r="H1447" s="5">
        <f t="shared" si="75"/>
        <v>0</v>
      </c>
      <c r="I1447" s="5" t="e">
        <f t="shared" si="76"/>
        <v>#N/A</v>
      </c>
    </row>
    <row r="1448" spans="3:9" x14ac:dyDescent="0.2">
      <c r="C1448" t="s">
        <v>7</v>
      </c>
      <c r="F1448" s="2" t="e" cm="1">
        <f t="array" ref="F1448">_xlfn.IFS(B1448="Owner Surrender",E1448,B1448="Stray",E1448+6,B1448="Stray w/identification",E1448+11,B1448="Bite",E1448+10,B1448="Other",Blank)</f>
        <v>#N/A</v>
      </c>
      <c r="H1448" s="5">
        <f t="shared" si="75"/>
        <v>0</v>
      </c>
      <c r="I1448" s="5" t="e">
        <f t="shared" si="76"/>
        <v>#N/A</v>
      </c>
    </row>
    <row r="1449" spans="3:9" x14ac:dyDescent="0.2">
      <c r="C1449" t="s">
        <v>7</v>
      </c>
      <c r="F1449" s="2" t="e" cm="1">
        <f t="array" ref="F1449">_xlfn.IFS(B1449="Owner Surrender",E1449,B1449="Stray",E1449+6,B1449="Stray w/identification",E1449+11,B1449="Bite",E1449+10,B1449="Other",Blank)</f>
        <v>#N/A</v>
      </c>
      <c r="H1449" s="5">
        <f t="shared" si="75"/>
        <v>0</v>
      </c>
      <c r="I1449" s="5" t="e">
        <f t="shared" si="76"/>
        <v>#N/A</v>
      </c>
    </row>
    <row r="1450" spans="3:9" x14ac:dyDescent="0.2">
      <c r="C1450" t="s">
        <v>7</v>
      </c>
      <c r="F1450" s="2" t="e" cm="1">
        <f t="array" ref="F1450">_xlfn.IFS(B1450="Owner Surrender",E1450,B1450="Stray",E1450+6,B1450="Stray w/identification",E1450+11,B1450="Bite",E1450+10,B1450="Other",Blank)</f>
        <v>#N/A</v>
      </c>
      <c r="H1450" s="5">
        <f t="shared" si="75"/>
        <v>0</v>
      </c>
      <c r="I1450" s="5" t="e">
        <f t="shared" si="76"/>
        <v>#N/A</v>
      </c>
    </row>
    <row r="1451" spans="3:9" x14ac:dyDescent="0.2">
      <c r="C1451" t="s">
        <v>7</v>
      </c>
    </row>
    <row r="1452" spans="3:9" x14ac:dyDescent="0.2">
      <c r="C1452" t="s">
        <v>7</v>
      </c>
    </row>
  </sheetData>
  <sortState xmlns:xlrd2="http://schemas.microsoft.com/office/spreadsheetml/2017/richdata2" ref="A4:M926">
    <sortCondition ref="A3:A926"/>
  </sortState>
  <mergeCells count="10">
    <mergeCell ref="H1:I1"/>
    <mergeCell ref="J1:J2"/>
    <mergeCell ref="L1:L2"/>
    <mergeCell ref="M1:M2"/>
    <mergeCell ref="A1:A2"/>
    <mergeCell ref="B1:B2"/>
    <mergeCell ref="C1:C2"/>
    <mergeCell ref="E1:E2"/>
    <mergeCell ref="F1:F2"/>
    <mergeCell ref="G1:G2"/>
  </mergeCells>
  <conditionalFormatting sqref="A1:A1048576">
    <cfRule type="duplicateValues" dxfId="1" priority="1"/>
  </conditionalFormatting>
  <dataValidations count="6">
    <dataValidation type="list" allowBlank="1" showInputMessage="1" showErrorMessage="1" sqref="D1 D3:D1048576" xr:uid="{C2566C06-73BA-C54D-93B2-9705BFD0CDD1}">
      <formula1>"0-6 months, 6-12 months, Adult, Senior"</formula1>
    </dataValidation>
    <dataValidation type="list" allowBlank="1" showInputMessage="1" showErrorMessage="1" sqref="J226:J439" xr:uid="{7C28CD0E-A66F-AE49-96D3-796A60DE69E8}">
      <formula1>"Adopted, DOA, Euthanized, RTO, Shelter, Transferred"</formula1>
    </dataValidation>
    <dataValidation type="list" allowBlank="1" showInputMessage="1" showErrorMessage="1" sqref="B3:B185" xr:uid="{B331DE83-3CCC-5A49-96E7-9F31B5DDCA3E}">
      <formula1>"BAS, Bite, Other, Owner Surrender, Seized, Stray, Stray w/identification"</formula1>
    </dataValidation>
    <dataValidation type="list" allowBlank="1" showInputMessage="1" showErrorMessage="1" sqref="J3:J187" xr:uid="{5F86027A-5154-ED44-8545-A8593A34B40E}">
      <formula1>"Adopted, DOA, Euthanized, RTO, Shelter, Transferred, "</formula1>
    </dataValidation>
    <dataValidation type="list" allowBlank="1" showInputMessage="1" showErrorMessage="1" sqref="B226:B979" xr:uid="{CB069459-4C5C-AF44-88CE-5343345BA843}">
      <formula1>"Owner Surrender, Stray, Stray w/identification, Seized, Other, BAS, Bite"</formula1>
    </dataValidation>
    <dataValidation type="list" allowBlank="1" showInputMessage="1" showErrorMessage="1" sqref="K3:K1048576" xr:uid="{997993C6-C8C9-F146-AA5B-2E4667C562B9}">
      <formula1>"N/A, Dangerous, Feral, Injured/Sick, Owner Request, Space, Unweaned"</formula1>
    </dataValidation>
  </dataValidations>
  <hyperlinks>
    <hyperlink ref="A808" r:id="rId1" display="https://www.dropbox.com/scl/fi/62k819i37ym2xauyzw4rz/41322.pdf?rlkey=75j5fs0b8x2hyrw5a42pvdxd5&amp;dl=0" xr:uid="{C20FEBE1-ACD1-AD45-98A7-9D8AC37D4375}"/>
    <hyperlink ref="A809" r:id="rId2" display="https://www.dropbox.com/scl/fi/wq2dkny513ye8n1eqfctf/41323.pdf?rlkey=z4ess4scu5st7deiy22vfrfe1&amp;dl=0" xr:uid="{BAA9E525-8CEA-8343-923F-2D1C77728052}"/>
    <hyperlink ref="A594" r:id="rId3" display="https://www.dropbox.com/scl/fi/shmf7hiainqaq5pfzfyqd/40755.pdf?rlkey=3yl5g6i8y37bj8c0if185r2p7&amp;dl=0" xr:uid="{EB697F96-9314-CD44-9295-D1609CCFB94E}"/>
    <hyperlink ref="A813" r:id="rId4" display="https://www.dropbox.com/scl/fi/347hmlxtl5g00wop37s3q/41328.pdf?rlkey=9yad8bapbkx9i6wat1xzf97p9&amp;dl=0" xr:uid="{174ED5DD-ADFD-2241-9A23-7454E572E738}"/>
    <hyperlink ref="A380" r:id="rId5" display="https://www.dropbox.com/scl/fi/2df2vtrk6s4vik8udduuf/40284.pdf?rlkey=3c98wufak0qyhtr2nkm5u2yr6&amp;dl=0" xr:uid="{73848C8C-E94A-0F4C-85EF-6D8950975556}"/>
    <hyperlink ref="A757" r:id="rId6" display="https://www.dropbox.com/scl/fi/86i47ls6c7lvco165vtnp/41194.pdf?rlkey=woehuxcnoegsq7gct4mx7wqkd&amp;dl=0" xr:uid="{E0DD0D57-EA39-3B4C-AD42-D6B67B2942DB}"/>
    <hyperlink ref="A531" r:id="rId7" display="https://www.dropbox.com/scl/fi/reqpfvx2v12zu6kafxkqt/40519.pdf?rlkey=h2tzpy9vqhrmbgblb6popy72x&amp;dl=0" xr:uid="{217FE8F9-4222-4F41-8ED1-CB6B2011ADA4}"/>
    <hyperlink ref="A387" r:id="rId8" display="https://www.dropbox.com/scl/fi/bnbho8kia6iucrvtx0fsj/40291.pdf?rlkey=7i7zym28rddqhf10lfnmh3jdi&amp;dl=0" xr:uid="{CC96113C-46B5-C348-B3C5-9687C23DBB7F}"/>
    <hyperlink ref="A639" r:id="rId9" display="https://www.dropbox.com/scl/fi/neyd66vz29tjd00dkicpb/40922.pdf?rlkey=cwl7dhiwk33wbsemxol32tksk&amp;dl=0" xr:uid="{843AB943-1638-604F-879F-13D98FB9E1AA}"/>
    <hyperlink ref="A680" r:id="rId10" display="https://www.dropbox.com/scl/fi/vmp1m5k7wt3rv6ihg90p4/41031.pdf?rlkey=ktyf80ksha3wjmq4fitm2puuy&amp;dl=0" xr:uid="{1AB239D5-FD63-2144-A662-568EC17DDFDC}"/>
    <hyperlink ref="A675" r:id="rId11" display="https://www.dropbox.com/scl/fi/svhfur6y30t3w6kf21je1/41018.pdf?rlkey=7fereb88t2y7n6yf0e6voydpo&amp;dl=0" xr:uid="{35E396A2-6C7E-3F46-B3F4-E355660CB891}"/>
    <hyperlink ref="A794" r:id="rId12" display="https://www.dropbox.com/scl/fi/gydu419vqemx9wtw08sbn/41275.pdf?rlkey=7e166rdramx4mzp9nid37g05b&amp;dl=0" xr:uid="{09446CCA-F70C-AE48-9212-750ADF9EB4E7}"/>
    <hyperlink ref="A798" r:id="rId13" display="https://www.dropbox.com/scl/fi/ythizwhtir8y0dw5kwji4/41283.pdf?rlkey=0kmm9f7qiprzyfq6epyb6au81&amp;dl=0" xr:uid="{C6E0275C-321D-624F-B6C0-014687B3CC1C}"/>
    <hyperlink ref="A795" r:id="rId14" display="https://www.dropbox.com/scl/fi/86dznqw5wwo2q4qwy36sj/41276.pdf?rlkey=0x4gwijuepdrj81d3wud2h9l5&amp;dl=0" xr:uid="{126E95A6-C42A-C746-BB92-754A0D479EBB}"/>
    <hyperlink ref="A666" r:id="rId15" display="https://www.dropbox.com/scl/fi/tcad2y6yovdm39rqjjice/41001.pdf?rlkey=d18e5gb7tvmeghk3uye76ruhu&amp;dl=0" xr:uid="{89E96E31-C3BF-6340-A51D-A358E794AEBB}"/>
    <hyperlink ref="A791" r:id="rId16" display="https://www.dropbox.com/scl/fi/ienvqzvgd1e7nskhxu0x1/41270.pdf?rlkey=hnxiapwir8qyemlt5kg3jpihv&amp;dl=0" xr:uid="{494B9A94-4146-E94A-8AE2-83F3E931CD10}"/>
    <hyperlink ref="A786" r:id="rId17" display="https://www.dropbox.com/scl/fi/1z9gdsk4v4kw5xokyq6g8/41262.pdf?rlkey=oleyow1zzzr904oskyq6aoaqs&amp;dl=0" xr:uid="{84A49797-8FF8-0A43-A911-253F3CD2CEFB}"/>
    <hyperlink ref="A769" r:id="rId18" display="https://www.dropbox.com/scl/fi/7dxc58115v8jcv11jklij/41212.pdf?rlkey=vu4uuihtthi0rjjc542souk64&amp;dl=0" xr:uid="{807B09BE-F658-9642-9961-02E4F0C4F5C0}"/>
    <hyperlink ref="A731" r:id="rId19" display="https://www.dropbox.com/scl/fi/m29tdcevyf3vj8evezsum/41138.pdf?rlkey=laact1tseq6u8h990zhvpbm0s&amp;dl=0" xr:uid="{85D92593-BC8F-134C-B10E-4A83311766CE}"/>
    <hyperlink ref="A810" r:id="rId20" display="https://www.dropbox.com/scl/fi/4ye9ff54zp78ccyzjlxnk/41324.pdf?rlkey=dy723um390o6ycehvs0w4zso2&amp;dl=0" xr:uid="{38AFA943-E0AB-3944-B004-7243BCD0B4C9}"/>
    <hyperlink ref="A804" r:id="rId21" display="https://www.dropbox.com/scl/fi/esuojhzr0yj7ixwlfth9y/41314.pdf?rlkey=q7urpa3oiq1qjbtxsblv2v8fc&amp;dl=0" xr:uid="{074FE7D5-0850-6346-8820-48B53483AF44}"/>
    <hyperlink ref="A658" r:id="rId22" display="https://www.dropbox.com/scl/fi/h0risoue26mes1b2mmoka/40977.pdf?rlkey=ajl9kiy42zstf20f9y3s6ypi6&amp;dl=0" xr:uid="{985A397A-7876-5B44-AC71-69A88A7446DA}"/>
    <hyperlink ref="A696" r:id="rId23" display="https://www.dropbox.com/scl/fi/45bnrax8ravyijuxzut6f/41072.pdf?rlkey=4zbja62c2u5sjmttxxuje2on5&amp;dl=0" xr:uid="{40967916-54C3-9745-BDB4-4F29A5C6EE16}"/>
    <hyperlink ref="A712" r:id="rId24" display="https://www.dropbox.com/scl/fi/kk408qalz8b7z26c4hmtz/41104.pdf?rlkey=2voft1jhllojpfq9xgwyuiv2e&amp;dl=0" xr:uid="{F6CADFDA-52C5-F145-9E1B-0CCBD1A65308}"/>
    <hyperlink ref="A659" r:id="rId25" display="https://www.dropbox.com/scl/fi/m2t7yi7rtsdloriocdugm/40979.pdf?rlkey=dy1gj6403u1087q361v5sa6db&amp;dl=0" xr:uid="{9D593F79-B8B8-7A4D-86E0-75205CCA8C71}"/>
    <hyperlink ref="A802" r:id="rId26" display="https://www.dropbox.com/scl/fi/shfbdg1fh3a8o9beq16qc/41312.pdf?rlkey=9sfkwavinigl8y5g95npj2y89&amp;dl=0" xr:uid="{2A15B198-E691-8240-BDD6-0240623E1960}"/>
    <hyperlink ref="A805" r:id="rId27" display="https://www.dropbox.com/scl/fi/n7p8jlvodd0a67re8ayf5/41315.pdf?rlkey=c9a0wder7lr4ceilvjq9020oz&amp;dl=0" xr:uid="{DCF836FF-0C2E-E540-B445-4973EF5DC263}"/>
    <hyperlink ref="A694" r:id="rId28" display="https://www.dropbox.com/scl/fi/hxj0k1o6muvdn5usgej8x/41070.pdf?rlkey=9k7fspsqo5xltzddp1hmtsnx8&amp;dl=0" xr:uid="{BD80F618-A880-2143-B9CD-3EB7F0F334A9}"/>
    <hyperlink ref="A660" r:id="rId29" display="https://www.dropbox.com/scl/fi/05qfyhdbl7x4300zgs5lm/40980.pdf?rlkey=kcfc9xzgy07hgrlweof5h9lk4&amp;dl=0" xr:uid="{769F6235-3BC0-3241-AB1D-E70B2CC16118}"/>
    <hyperlink ref="A803" r:id="rId30" display="https://www.dropbox.com/scl/fi/3gj1w5skpwh89ssl9l2ty/41313.pdf?rlkey=r5tfpi8kfbsxi6bwod3vgsvkg&amp;dl=0" xr:uid="{27968692-F116-A94D-A1CF-5ADE9B77D8B4}"/>
    <hyperlink ref="A714" r:id="rId31" display="https://www.dropbox.com/scl/fi/ela1dq7rk30b3ghest58l/41106.pdf?rlkey=2u6orq3tlvs4pwv6cbsnh5q0f&amp;dl=0" xr:uid="{E87DF61A-D380-BA47-A2B7-3E01D83A13E0}"/>
    <hyperlink ref="A647" r:id="rId32" display="https://www.dropbox.com/scl/fi/lzs4bgji42nhuimp5w2kh/40945.pdf?rlkey=3glxgyxlp42zcyg9zwmj1pkq5&amp;dl=0" xr:uid="{FD19826A-A262-CF41-93FA-A0FAA3825D15}"/>
    <hyperlink ref="A801" r:id="rId33" display="https://www.dropbox.com/scl/fi/22ldmt1i1sxxpejhvh4fo/41311.pdf?rlkey=g12nebty24rx31vgel7etlso4&amp;dl=0" xr:uid="{A289B029-1EFA-FB43-8A5C-6273F62D76C7}"/>
    <hyperlink ref="A661" r:id="rId34" display="https://www.dropbox.com/scl/fi/cbzi6fx2r8yerw4xsz4s0/40981.pdf?rlkey=uw98v2cxpo1esms1bci26lcb8&amp;dl=0" xr:uid="{441CE857-A7C2-5F48-8E3C-678D02228B60}"/>
    <hyperlink ref="A693" r:id="rId35" display="https://www.dropbox.com/scl/fi/y1nh1tekoc3eyrvhzw6sd/41069.pdf?rlkey=t8g6oe29wv9sfbyyj27nyd7ls&amp;dl=0" xr:uid="{303B6BE9-5550-174D-A3BB-20988600EFC1}"/>
    <hyperlink ref="A695" r:id="rId36" display="https://www.dropbox.com/scl/fi/obt11u9rzkrh9m7reb3ia/41071.pdf?rlkey=z0brx5qcjuvi9l0kul3ej1mnb&amp;dl=0" xr:uid="{3424AAF8-EE08-324C-82DA-D7748D36DA6A}"/>
    <hyperlink ref="A715" r:id="rId37" display="https://www.dropbox.com/scl/fi/oz1jqy377tafjxrwnzcp2/41107.pdf?rlkey=tz6zbyoia9b1jsfx3gpwl3lpb&amp;dl=0" xr:uid="{049B0140-B517-1946-A358-2129D6A14246}"/>
    <hyperlink ref="A713" r:id="rId38" display="https://www.dropbox.com/scl/fi/jxuctpb1f01ape587g2kc/41105.pdf?rlkey=ewbmrbzk2jmq2khi6aymslje6&amp;dl=0" xr:uid="{D6E4F076-5E41-B141-ABF0-4013C3638429}"/>
    <hyperlink ref="A711" r:id="rId39" display="https://www.dropbox.com/scl/fi/xyaepwxp3eaf09c33enap/41103.pdf?rlkey=gdn09rgkbisj86zwuy7v2k0ee&amp;dl=0" xr:uid="{C2C9EF1A-306A-6844-A43D-8D1056B79FF2}"/>
    <hyperlink ref="A710" r:id="rId40" display="https://www.dropbox.com/scl/fi/4ccenrnc17mwj52fuuvr6/41102.pdf?rlkey=shgrmxq1yhgmel3asqi7vn32j&amp;dl=0" xr:uid="{034A4BBA-DEED-0240-82F2-0472E43F2B42}"/>
    <hyperlink ref="A709" r:id="rId41" display="https://www.dropbox.com/scl/fi/hhvhog9wh2hgeberg2sns/41101.pdf?rlkey=phhba1wn9ll3wpi90jjolwmxy&amp;dl=0" xr:uid="{76CCBE68-D266-C343-8962-0FDD4292ECF2}"/>
    <hyperlink ref="A708" r:id="rId42" display="https://www.dropbox.com/scl/fi/mh8c485917icfwlmzznoh/41100.pdf?rlkey=pdd1drgt5t4psziqp87r2wxj9&amp;dl=0" xr:uid="{25EF2ED6-A42D-644A-9565-D8C7D8155C56}"/>
    <hyperlink ref="A707" r:id="rId43" display="https://www.dropbox.com/scl/fi/12oorms9h5wlxam6axs2n/41099.pdf?rlkey=ikgw40t0olluqlpssmuj9xeoh&amp;dl=0" xr:uid="{8DF5491F-2F21-C545-B763-EFF3F8F54F7B}"/>
    <hyperlink ref="A717" r:id="rId44" display="https://www.dropbox.com/scl/fi/9taewcdk5bz23a3937xsq/41109.pdf?rlkey=er17thbfm61gm1s6i5fx3soxn&amp;dl=0" xr:uid="{94463187-2D27-6141-B082-4FF04898E6F2}"/>
    <hyperlink ref="A787" r:id="rId45" display="https://www.dropbox.com/scl/fi/mzx0166mudriktb035gox/41264.pdf?rlkey=uuupzvkjb0ybm80emna0vfg8c&amp;dl=0" xr:uid="{EB35600A-A4D4-134B-A1D0-8EA7CE9BF050}"/>
    <hyperlink ref="A772" r:id="rId46" display="https://www.dropbox.com/scl/fi/q16bshtfu2wpvr7lfbnaz/41236.pdf?rlkey=nb8n88w0hil5idg8d065dv3cs&amp;dl=0" xr:uid="{52D14278-B8D2-0C4E-8C18-66460F7D96CA}"/>
    <hyperlink ref="A716" r:id="rId47" display="https://www.dropbox.com/scl/fi/awqopjn75rm981hw9jvn2/41108.pdf?rlkey=yi8u8jg96qkl4c9a597aitca6&amp;dl=0" xr:uid="{EAC42E76-7A01-C34B-9896-187D7C5D86AC}"/>
    <hyperlink ref="A734" r:id="rId48" display="https://www.dropbox.com/scl/fi/1nltejj2bsc7a4gw9zexf/41151.pdf?rlkey=dr2ydsul8temj5npl215ggk20&amp;dl=0" xr:uid="{EF8F9D42-645B-9947-81F7-FD38C2295608}"/>
    <hyperlink ref="A670" r:id="rId49" display="https://www.dropbox.com/scl/fi/44gzhomkorbfscmbihbh2/41012.pdf?rlkey=f7hovgsay7ihu48gnv3liqr66&amp;dl=0" xr:uid="{A0D675E0-784F-5F43-AB86-5A6E780E3B13}"/>
    <hyperlink ref="A738" r:id="rId50" display="https://www.dropbox.com/scl/fi/a8crytlzoeebdklrzjilh/41153.pdf?rlkey=ojdnkgsf5o45r81qat5xifsna&amp;dl=0" xr:uid="{419F1547-6C20-9447-B63B-8FE25BA9AD58}"/>
    <hyperlink ref="A732" r:id="rId51" display="https://www.dropbox.com/scl/fi/q8mq0q8yshqigatbmruxr/41147.pdf?rlkey=r5bshiyb72ujoapycs3tuyv8z&amp;dl=0" xr:uid="{0B21F9AA-C50C-2348-A1BE-687054756F11}"/>
    <hyperlink ref="A676" r:id="rId52" display="https://www.dropbox.com/scl/fi/fbhy8r8z3f2ypfa2c6cz3/41019.pdf?rlkey=0e6trwcy37xyz6f1vbphs9m2j&amp;dl=0" xr:uid="{1FCD5E6D-69C1-2849-BDDA-15FD761AB91F}"/>
    <hyperlink ref="A725" r:id="rId53" display="https://www.dropbox.com/scl/fi/3ex71mr46dgg5yutt7lz9/41129.pdf?rlkey=p4sghmrmjp3izv15a19ql0uci&amp;dl=0" xr:uid="{C77EB420-53A4-994C-9F1A-C0FA870E54CC}"/>
    <hyperlink ref="A752" r:id="rId54" display="https://www.dropbox.com/scl/fi/y0hdxr6dkyq5w0fec7p7w/41181.pdf?rlkey=c3ywxxzyzgujcvavc2otq5v9m&amp;dl=0" xr:uid="{D3539948-8FAD-5C44-9EC1-4F07F2F58AC4}"/>
    <hyperlink ref="A755" r:id="rId55" display="https://www.dropbox.com/scl/fi/ou2rlemcx79ppdi33x1sb/41184.pdf?rlkey=7g3fkw46yik4zjvtmimrj26oo&amp;dl=0" xr:uid="{BBFDF383-F0EC-4D4C-9032-F607BCDB46F0}"/>
    <hyperlink ref="A754" r:id="rId56" display="https://www.dropbox.com/scl/fi/9ut145qd5teyn22ezgq4s/41183.pdf?rlkey=mn1zl0vjqbo81dq7f1j98ma6v&amp;dl=0" xr:uid="{271E48FD-A586-374A-AAA6-6475DA38193C}"/>
    <hyperlink ref="A719" r:id="rId57" display="https://www.dropbox.com/scl/fi/h6muwxpnc0mzhjsh5infh/41116.pdf?rlkey=5rizh6wdhnrekqsaal2v3c1hy&amp;dl=0" xr:uid="{828366E8-76F1-6D4A-970A-BFFF2BA592F6}"/>
    <hyperlink ref="A718" r:id="rId58" display="https://www.dropbox.com/scl/fi/dqrnk1jxeokvnbp0p204k/41115.pdf?rlkey=alviuv5lf4mpq1n4fazbpugfq&amp;dl=0" xr:uid="{369CC518-9534-5E4C-9D23-FA0174718AD9}"/>
    <hyperlink ref="A753" r:id="rId59" display="https://www.dropbox.com/scl/fi/hif30vkt3ajf4n7tkn9sj/41182.pdf?rlkey=ai362528fs4gglzudssmzdslu&amp;dl=0" xr:uid="{61D5B582-449B-0F4F-84AF-25690EE07497}"/>
    <hyperlink ref="A733" r:id="rId60" display="https://www.dropbox.com/scl/fi/75cas3r6ysbx8zozfd95d/41148.pdf?rlkey=0e7ihifdxp97yioa10j97i3m4&amp;dl=0" xr:uid="{43644E29-450A-F146-9331-C268FFAC3F22}"/>
    <hyperlink ref="A688" r:id="rId61" display="https://www.dropbox.com/scl/fi/hswyrtehn1oz3jby7k1mx/41058.pdf?rlkey=06g4fih8dve6ju7fsf3klcdrx&amp;dl=0" xr:uid="{2FAB3867-6253-2845-A2C4-6B0BF7E5CF29}"/>
    <hyperlink ref="A745" r:id="rId62" display="https://www.dropbox.com/scl/fi/on25n7u4q5keuwqaq9iyh/41167.pdf?rlkey=p9lt6049n3jtirhiswq6a9daz&amp;dl=0" xr:uid="{93371FCF-B98D-864A-A6BF-459F09CA43B5}"/>
    <hyperlink ref="A697" r:id="rId63" display="https://www.dropbox.com/scl/fi/7y4i6d51hb5yqffx3te04/41084.pdf?rlkey=jbg67ergxv6skxfno57x3eid4&amp;dl=0" xr:uid="{E9B818C8-3359-8746-A8FF-06E7EE615B37}"/>
    <hyperlink ref="A775" r:id="rId64" display="https://www.dropbox.com/scl/fi/dnc6rlq126j6e9ghd545l/41240.pdf?rlkey=uqd0exvmm31m93d09dyws1kjw&amp;dl=0" xr:uid="{370E8937-D63E-564C-87E9-A0E4EAB27FE3}"/>
    <hyperlink ref="A290" r:id="rId65" display="https://www.dropbox.com/scl/fi/r4gusg4j5xrlvelpfmdg8/40122.pdf?rlkey=vzv58oc5wgf3g82cpollz0fnw&amp;dl=0" xr:uid="{221D63D5-DBBE-B74F-914C-C9617EF6F24C}"/>
    <hyperlink ref="A701" r:id="rId66" display="https://www.dropbox.com/scl/fi/055cfhbi36dhr964sk2l2/41092.pdf?rlkey=4tfd67euthkt2k3fozcezd1am&amp;dl=0" xr:uid="{19DC6BBF-4C77-C844-96C6-B2DCF3992C8B}"/>
    <hyperlink ref="A784" r:id="rId67" display="https://www.dropbox.com/scl/fi/z0p3h6bkah35vsb324lqv/41258.pdf?rlkey=6h1p67gdh61xmff87s2np9x40&amp;dl=0" xr:uid="{7C92367D-6BB1-5E46-BC55-6D9F4034F0C7}"/>
    <hyperlink ref="A831" r:id="rId68" display="https://www.dropbox.com/scl/fi/cn7dsz38jtuwhmpd3m6x3/41362.pdf?rlkey=2qbtdgsvjnyrzv2eckkkeo8pq&amp;dl=0" xr:uid="{08B54D45-29F5-7D47-ADD9-10C55DF0206E}"/>
    <hyperlink ref="A779" r:id="rId69" display="https://www.dropbox.com/scl/fi/hzs0tj5fk2y8ij9mudw3e/41253.pdf?rlkey=6me2v5mvgv6ys1jajkvf0erzs&amp;dl=0" xr:uid="{CCD9B377-1B90-DA43-9B2A-D30B049743F8}"/>
    <hyperlink ref="A812" r:id="rId70" display="https://www.dropbox.com/scl/fi/y5xholtla9c6aq2q02sd6/41327.pdf?rlkey=v9hk0drv5h5w7shsg87i2lqfr&amp;dl=0" xr:uid="{33C1FD0F-B531-5146-A5C0-0DA4EAACBF1D}"/>
    <hyperlink ref="A778" r:id="rId71" display="https://www.dropbox.com/scl/fi/cjkwspmu13is6v831mycv/41252.pdf?rlkey=2v7zumxw00c8fmagma1m20evz&amp;dl=0" xr:uid="{F018954A-52AA-E548-AD5F-54DAD9D5D5C8}"/>
    <hyperlink ref="A740" r:id="rId72" display="https://www.dropbox.com/scl/fi/vw6ulvi8eqpphcpqnyfej/41160.pdf?rlkey=j1w5aze64mbpk5rtlfk9mv88f&amp;dl=0" xr:uid="{C74465A5-7FF9-6741-9E90-8F615CFE5B90}"/>
    <hyperlink ref="A783" r:id="rId73" display="https://www.dropbox.com/scl/fi/ojrkl2xq8h3eoymfvcg5q/41257.pdf?rlkey=7b8zq9917w2zrc7ezepyiol0a&amp;dl=0" xr:uid="{A69CF079-1B6A-724E-A490-3B4FF80EC60A}"/>
    <hyperlink ref="A774" r:id="rId74" display="https://www.dropbox.com/scl/fi/tlkf1bbpssiaq3dgh8inn/41239.pdf?rlkey=alziinzr6tjrbahzr9r7lxoms&amp;dl=0" xr:uid="{18B3326A-D530-304B-86C1-E2EE2311EF90}"/>
    <hyperlink ref="A766" r:id="rId75" display="https://www.dropbox.com/scl/fi/n14bxh2l1b83j5vbq7sao/41206.pdf?rlkey=yjlct8s3q7l7crofdkrxtgoyv&amp;dl=0" xr:uid="{D1558FBF-5FE4-5148-A6FC-08EC47DF0208}"/>
    <hyperlink ref="A765" r:id="rId76" display="https://www.dropbox.com/scl/fi/rxlhk7jlpn7ts15e3w8xq/41205.pdf?rlkey=trznlrsuka7evv9po3mg3xg2q&amp;dl=0" xr:uid="{78C593DB-87DA-6F42-B3AD-AD8627EC5A0E}"/>
    <hyperlink ref="A781" r:id="rId77" display="https://www.dropbox.com/scl/fi/dqtvew7s3yf0unyslqi8q/41255.pdf?rlkey=k6ltkazdqgst3cqxyiw8dsads&amp;dl=0" xr:uid="{52AD9DE7-9E0D-A64F-9675-09F510545838}"/>
    <hyperlink ref="A780" r:id="rId78" display="https://www.dropbox.com/scl/fi/gnh9ow3jqm5g2asra8401/41254.pdf?rlkey=0fl21unp5nyuhzxcyeuee8g7j&amp;dl=0" xr:uid="{97436770-0ACA-4C44-8AAB-7C8DF1632BF2}"/>
    <hyperlink ref="A776" r:id="rId79" display="https://www.dropbox.com/scl/fi/zbtyp2eesyc9lub3bfpj0/41241.pdf?rlkey=hqgaect0yrmu4hpaisr03yv9v&amp;dl=0" xr:uid="{57A71219-D847-F040-8BFF-5C8152192991}"/>
    <hyperlink ref="A799" r:id="rId80" display="https://www.dropbox.com/scl/fi/dhyd1m7689qxtgfn1yltq/41305.pdf?rlkey=4bz10vs5rr1pqrrpclizs2r8f&amp;dl=0" xr:uid="{56A202DA-985E-A64B-9F90-1F31212E1F60}"/>
    <hyperlink ref="A782" r:id="rId81" display="https://www.dropbox.com/scl/fi/rs4je97pbf3irjmphb211/41256.pdf?rlkey=zcumh6xbflyngxs69bw90voio&amp;dl=0" xr:uid="{CA86B6C8-0FCE-5846-A15A-6C38EE15E1FF}"/>
    <hyperlink ref="A833" r:id="rId82" display="https://www.dropbox.com/scl/fi/47iphha564qvuqrik4jq1/41364.pdf?rlkey=v2u9a7cfj55xlkvpyaky8ivpg&amp;dl=0" xr:uid="{5C34B19B-8DFE-A542-8256-6040A9CEA39F}"/>
    <hyperlink ref="A834" r:id="rId83" display="https://www.dropbox.com/scl/fi/6d7v8n3nhsc31o60j9wmq/41365.pdf?rlkey=8ilrdflduxzeg0livi77t3ct0&amp;dl=0" xr:uid="{8019E465-320E-DA40-BBEF-A944B0817FC5}"/>
    <hyperlink ref="A832" r:id="rId84" display="https://www.dropbox.com/scl/fi/4wy1ueu6ncaljwkkrkxx9/41363.pdf?rlkey=3lpnmvxao5g12r6vnnk7mxs74&amp;dl=0" xr:uid="{E06F6128-5C45-944C-A48F-688209A7FDE4}"/>
    <hyperlink ref="A814" r:id="rId85" display="https://www.dropbox.com/scl/fi/6u4m68ledc95e87wds61y/41336.pdf?rlkey=gj5lihzqvgru76c970560avx6&amp;dl=0" xr:uid="{FD9136A6-47A3-8646-B47C-1D4A84A0D305}"/>
    <hyperlink ref="A847" r:id="rId86" display="https://www.dropbox.com/scl/fi/n0s05qv0riqwv6tmxxp0r/41381.pdf?rlkey=n46hqf9qmlw4bajxe3jmys3l6&amp;dl=0" xr:uid="{7DC6BD7C-F811-8940-9472-600D61BDF097}"/>
    <hyperlink ref="A849" r:id="rId87" display="https://www.dropbox.com/scl/fi/oeas0p2lj9e5odftwnudu/41383.pdf?rlkey=fm9u3wx1wu35ki49bsef7f69i&amp;dl=0" xr:uid="{D5B862A1-7FA2-EF44-B62E-3B8B480806B2}"/>
    <hyperlink ref="A848" r:id="rId88" display="https://www.dropbox.com/scl/fi/qz642yoawqw0larbpz0my/41382.pdf?rlkey=4qhb05wzqjt14a36c7d0bu4ag&amp;dl=0" xr:uid="{F8321C07-8518-4E42-853D-61A94C7872E4}"/>
    <hyperlink ref="A850" r:id="rId89" display="https://www.dropbox.com/scl/fi/f9mv3ferz2tf2t1676wnq/41384.pdf?rlkey=etli6t7t6nidouc1qiv50q8js&amp;dl=0" xr:uid="{BFCB0384-0454-9D4D-81C2-E80A47D417D0}"/>
    <hyperlink ref="A742" r:id="rId90" display="https://www.dropbox.com/scl/fi/3ct2hzolobxu8he8xwkxl/41162.pdf?rlkey=z42qx1slzgts16lzmriskvabh&amp;dl=0" xr:uid="{332BC335-F378-6D42-8ED3-A8C5BC316CB7}"/>
    <hyperlink ref="A741" r:id="rId91" display="https://www.dropbox.com/scl/fi/jti7p888jrywjuramuprx/41161.pdf?rlkey=hps8jsmihymfz3qht7ssne9z1&amp;dl=0" xr:uid="{05012E99-CD50-5246-8F72-B15B73AE1A6D}"/>
    <hyperlink ref="A684" r:id="rId92" display="https://www.dropbox.com/scl/fi/nze9rdtjt5pp8ps4wbk68/41042.pdf?rlkey=onepl955bx4ff4ictv6u8ojni&amp;dl=0" xr:uid="{E04A3332-2EEE-3942-A7CC-F1435D5099E9}"/>
    <hyperlink ref="A811" r:id="rId93" display="https://www.dropbox.com/scl/fi/ha7c63chtsp4wjrpbux7z/41325.pdf?rlkey=p92yhxyumnyb14pue77himea9&amp;dl=0" xr:uid="{9759329C-AF60-884D-AFCB-0E8BA77F1FE5}"/>
    <hyperlink ref="A655" r:id="rId94" display="https://www.dropbox.com/scl/fi/kpkxesq891xep6b5kvwri/40969.pdf?rlkey=egvgcrtemt8c34vm8qnutbt37&amp;dl=0" xr:uid="{0305B353-F986-D44A-A5F5-13E51E34BEEA}"/>
    <hyperlink ref="A287" r:id="rId95" display="https://www.dropbox.com/scl/fi/4vg3j9j25638okhcjjj4a/40119.pdf?rlkey=gxgxhz54p33rk7lygwkelr3dp&amp;dl=0" xr:uid="{692E73AE-3ACE-7047-9945-44F4F5FD3420}"/>
    <hyperlink ref="A469" r:id="rId96" display="https://www.dropbox.com/scl/fi/lygqpgnmtia435cayl1fw/40432.pdf?rlkey=cojq94831ck4f3jdfcvuexrr0&amp;dl=0" xr:uid="{72900491-6F05-C74C-9B35-537004C8E6A9}"/>
    <hyperlink ref="A500" r:id="rId97" display="https://www.dropbox.com/scl/fi/v52ua1gj2b2kr1wqt4gfw/40479.pdf?rlkey=dpmb3jbmdz6k7shk7jy5xrwdv&amp;dl=0" xr:uid="{9834B4A6-757B-2940-8C86-C43C5077B2DD}"/>
    <hyperlink ref="A508" r:id="rId98" display="https://www.dropbox.com/scl/fi/maiobs16u1ex5nsfu2fvw/40491.pdf?rlkey=sf5t83u8apk5iti19ucdpl7l6&amp;dl=0" xr:uid="{463015AB-74ED-6348-9657-79AD2BF4979D}"/>
    <hyperlink ref="A554" r:id="rId99" display="https://www.dropbox.com/scl/fi/8af0pogofec9ptj5loa6g/40701.pdf?rlkey=gk514dgn3xzoquepyi0cah7yr&amp;dl=0" xr:uid="{0ADCF026-C251-3A4F-A087-B77E652BFA06}"/>
    <hyperlink ref="A598" r:id="rId100" display="https://www.dropbox.com/scl/fi/29f4pedw166o9lf11qcwh/40762.pdf?rlkey=9p4fqwa5133pabz7cjjexwmby&amp;dl=0" xr:uid="{5CE3A128-6BF1-B74D-A9D7-664F803DCD0C}"/>
    <hyperlink ref="A634" r:id="rId101" display="https://www.dropbox.com/scl/fi/jhurjnqfhkyo6huehj1c9/40912.pdf?rlkey=bonzyhxdoqtihzrtww9pgqgtp&amp;dl=0" xr:uid="{00B74849-84C2-EA49-9FF4-4FC892F6613B}"/>
    <hyperlink ref="A635" r:id="rId102" display="https://www.dropbox.com/scl/fi/k64d8fllufqtb7btjdfz2/40913.pdf?rlkey=7o4k0t1ukmu9jv5fh7ykef1vw&amp;dl=0" xr:uid="{A5402E8B-90F3-AC4D-9AD3-B1D98FB7D2E6}"/>
    <hyperlink ref="A636" r:id="rId103" display="https://www.dropbox.com/scl/fi/bqlptin5a3jvq1m1qodw8/40914.pdf?rlkey=ln56yjoxvb8nclohrjfvzxt6w&amp;dl=0" xr:uid="{5F6DBBFB-8B81-F246-B9A2-961E39280A8E}"/>
    <hyperlink ref="A637" r:id="rId104" display="https://www.dropbox.com/scl/fi/8s3lzr9j1yc0gw1k32gi9/40915.pdf?rlkey=h5w6hsrjb5m7lv99x6d5uails&amp;dl=0" xr:uid="{EA365D0F-C1D4-F74E-A3E9-55F1D32AD457}"/>
    <hyperlink ref="A649" r:id="rId105" display="https://www.dropbox.com/scl/fi/76lkw3s2rdodlfmy7pfgl/40958.pdf?rlkey=3sngy577xaakdta807cmkh8ts&amp;dl=0" xr:uid="{1975B368-EC99-354E-8C60-9E855B9FCE56}"/>
    <hyperlink ref="A653" r:id="rId106" display="https://www.dropbox.com/scl/fi/3vsx7ecal0sreqwxhnall/40965.pdf?rlkey=lzfpccpvs63j5jnfhjk6pvyo3&amp;dl=0" xr:uid="{61F0952E-39AE-A84E-8BF7-D906D5471123}"/>
    <hyperlink ref="A654" r:id="rId107" display="https://www.dropbox.com/scl/fi/2fe09k3cd4zjylgfhedi8/40968.pdf?rlkey=i491al6gksxc3qmfhzb1ap4g8&amp;dl=0" xr:uid="{02094553-7866-0C48-9682-5830F2610187}"/>
    <hyperlink ref="A656" r:id="rId108" display="https://www.dropbox.com/scl/fi/kecd4b0a7fvlnu4c41m01/40970.pdf?rlkey=wucaj0fh3b3pzxds4ugqi5ddz&amp;dl=0" xr:uid="{11632E89-55E5-B144-B5B9-2BFEE6090D60}"/>
    <hyperlink ref="A662" r:id="rId109" display="https://www.dropbox.com/scl/fi/8izklzkdnvj8q9qpnep0z/40988.pdf?rlkey=10zev8jbmumim6nsrpaiznad1&amp;dl=0" xr:uid="{7F9A274B-EEBC-E941-8D9E-E2265605D5AD}"/>
    <hyperlink ref="A663" r:id="rId110" display="https://www.dropbox.com/scl/fi/coadaq1vlbhlgyuaqsmrh/40991.pdf?rlkey=qkk8grmj2jv4yd5btkkrr0y9j&amp;dl=0" xr:uid="{22A442FA-F9E0-3E4D-B529-94B8267ECC02}"/>
    <hyperlink ref="A664" r:id="rId111" display="https://www.dropbox.com/scl/fi/w5yy7hjl8d9m8brtmr48o/40995.pdf?rlkey=kt0pxear4g2bsxpch9pffo6uk&amp;dl=0" xr:uid="{A371817A-0E2E-E44D-BDB4-51F401B9CF0C}"/>
    <hyperlink ref="A665" r:id="rId112" display="https://www.dropbox.com/scl/fi/bj1min3n3wruv1rcar8lm/40996.pdf?rlkey=6ibk7x6lb152six7wamcl16fj&amp;dl=0" xr:uid="{86C9EAC2-F7C1-7949-A264-F79C12928245}"/>
    <hyperlink ref="A667" r:id="rId113" display="https://www.dropbox.com/scl/fi/zdrq5z6ly6dncer301ha4/41004.pdf?rlkey=wfye48ro2zu6nv3p0vuy8808h&amp;dl=0" xr:uid="{69EF306A-8A8B-C846-80D0-07B412AEEE4B}"/>
    <hyperlink ref="A668" r:id="rId114" display="https://www.dropbox.com/scl/fi/twgv4ljixzjbplq47i21p/41005.pdf?rlkey=uw1ig3g4as7fh0zs9n3u5uy70&amp;dl=0" xr:uid="{9A8FEC69-5BCC-6948-B50A-0A17D560658C}"/>
    <hyperlink ref="A669" r:id="rId115" display="https://www.dropbox.com/scl/fi/byyhc5gmsiqt4xjebmeg2/41006.pdf?rlkey=mlpyer3scy3gaxeeelxd6n58w&amp;dl=0" xr:uid="{9EDD3562-1A2B-2B4E-AFA3-1036D58A53CD}"/>
    <hyperlink ref="A671" r:id="rId116" display="https://www.dropbox.com/scl/fi/ivs097flylwva0bq4skmy/41014.pdf?rlkey=uvfle3vzcpfzs9g6c04shtu2c&amp;dl=0" xr:uid="{B36E716A-21E9-EC4E-9D11-1AB15CF36DB7}"/>
    <hyperlink ref="A672" r:id="rId117" display="https://www.dropbox.com/scl/fi/y7vj9en6jo6d6puaualn9/41015.pdf?rlkey=x2hhgx0kjhbsmj3llf8brv6gy&amp;dl=0" xr:uid="{37440CDB-B7A1-1B48-9629-13E22F37535D}"/>
    <hyperlink ref="A673" r:id="rId118" display="https://www.dropbox.com/scl/fi/l666r4hsa4pl21ik3rceg/41016.pdf?rlkey=vomp1q6n8jkqvw419m3feydu5&amp;dl=0" xr:uid="{39BF02AA-32D6-4A42-923A-093C7B1FB3D4}"/>
    <hyperlink ref="A677" r:id="rId119" display="https://www.dropbox.com/scl/fi/qcp503bbtno3zp6k1bet2/41021.pdf?rlkey=avjspiil6s72ox58kdrwial8l&amp;dl=0" xr:uid="{959AA4C7-3C4B-2943-B82F-6430B7D75ED4}"/>
    <hyperlink ref="A678" r:id="rId120" display="https://www.dropbox.com/scl/fi/p74pcd3thitgmd9u4ph62/41027.pdf?rlkey=mam4jv6oals2cpfu9rl5aj8b6&amp;dl=0" xr:uid="{03F4151E-AC0C-C14B-9CD5-C6576DC35751}"/>
    <hyperlink ref="A679" r:id="rId121" display="41030.pdf" xr:uid="{241BEAF7-3019-DE41-8F2C-93B1CFDF5DF0}"/>
    <hyperlink ref="A681" r:id="rId122" display="https://www.dropbox.com/scl/fi/0c4ctyor4thq24kz1x1o2/41037.pdf?rlkey=ye7hz37ggnwlsrowtfc8uiwac&amp;dl=0" xr:uid="{5EF67F32-A048-A64D-BB25-07C6D064624F}"/>
    <hyperlink ref="A682" r:id="rId123" display="https://www.dropbox.com/scl/fi/fjd2ena6sw2g99c3n8vqp/41040.pdf?rlkey=yk0f9fm3l2nkzdh8zuwisitdf&amp;dl=0" xr:uid="{EFD49EAB-E382-2346-914F-BDCB7BD49320}"/>
    <hyperlink ref="A683" r:id="rId124" display="https://www.dropbox.com/scl/fi/ssz8aemsbokl03ef9ockh/41041.pdf?rlkey=nlhqqj3jr9x0mcrl0rusub1gh&amp;dl=0" xr:uid="{CA07F572-6BEB-8C4B-ADCF-7AD87F251DF5}"/>
    <hyperlink ref="A686" r:id="rId125" display="https://www.dropbox.com/scl/fi/srycbzzmu7oq8vx78kgwg/41049.pdf?rlkey=f1g6vdt59xlmltpj7l393m012&amp;dl=0" xr:uid="{00D27739-2BCC-8743-A6E8-0A7C5CA49807}"/>
    <hyperlink ref="A687" r:id="rId126" display="https://www.dropbox.com/scl/fi/jovo7pm3n6nre3j14r3ut/41057.pdf?rlkey=vok6n5q6l6ytnjc2woi3pei6m&amp;dl=0" xr:uid="{0DFBC0F2-3088-D742-996A-420884AC8468}"/>
    <hyperlink ref="A689" r:id="rId127" display="https://www.dropbox.com/scl/fi/8g3go49outzzt3bcjrlql/41059.pdf?rlkey=6zdi5qmfsnq6h03c52pkll4bb&amp;dl=0" xr:uid="{2213D30F-CC5B-404F-BF4A-47DA8819319A}"/>
    <hyperlink ref="A690" r:id="rId128" display="https://www.dropbox.com/scl/fi/7wtagm779zn9ej7xgo1wt/41060.pdf?rlkey=4fft4f7dsnhqhbwq0n7rwz4b3&amp;dl=0" xr:uid="{E1443975-E173-9A43-9ADC-04AA1BBA7666}"/>
    <hyperlink ref="A691" r:id="rId129" display="https://www.dropbox.com/scl/fi/yfvh1fyx9nznc72z9pjmd/41061.pdf?rlkey=lv6dr6k4nmpd42r8bcymy71h5&amp;dl=0" xr:uid="{6656ABC3-1363-C146-A740-5A2DD6D751E3}"/>
    <hyperlink ref="A692" r:id="rId130" display="https://www.dropbox.com/scl/fi/zklieyw1lx568z0hlpbdr/41062.pdf?rlkey=fc9creu44o6bcgcd6zuw1p4ci&amp;dl=0" xr:uid="{515219F9-0707-4F4F-BBCB-7F85EA9C18DA}"/>
    <hyperlink ref="A698" r:id="rId131" display="https://www.dropbox.com/scl/fi/ysz8djjzrfkm2r4kar3go/41086.pdf?rlkey=2s0z9tv7sma4dhn0whug9d8cn&amp;dl=0" xr:uid="{6994A6D7-3560-C142-8D7E-904747463716}"/>
    <hyperlink ref="A699" r:id="rId132" display="https://www.dropbox.com/scl/fi/myyrn85pxgltic0ge8v3x/41090.pdf?rlkey=4bxd9rul5jcftw3zgw4naprvp&amp;dl=0" xr:uid="{D7E5122A-4641-B349-9690-2969E5E041DE}"/>
    <hyperlink ref="A700" r:id="rId133" display="https://www.dropbox.com/scl/fi/i2wt2pwz0mv7wk8enxke4/41091.pdf?rlkey=2zbu24co2vhsnr7pimckry9gb&amp;dl=0" xr:uid="{3B77F37D-8A74-2E49-8771-A06A8A354EBE}"/>
    <hyperlink ref="A702" r:id="rId134" display="https://www.dropbox.com/scl/fi/ex11dxgtqn7vqukj5tahx/41094.pdf?rlkey=oyswse9d81qymssp691r89fsk&amp;dl=0" xr:uid="{217C0A64-D857-2B47-98FD-8BB01F097946}"/>
    <hyperlink ref="A703" r:id="rId135" display="https://www.dropbox.com/scl/fi/qe8twxbk9kxwamukyyi4z/41095.pdf?rlkey=rpc7ciw2aeqsz9cebzy5p4lm6&amp;dl=0" xr:uid="{76D1CF82-46FC-1D4D-BE28-A19B26261110}"/>
    <hyperlink ref="A704" r:id="rId136" display="https://www.dropbox.com/scl/fi/i7wdpok1ivr0xrjl3m0j3/41096.pdf?rlkey=4fvzt1x00jaiy02oy2cknx1d1&amp;dl=0" xr:uid="{BD3F38FF-5016-324F-92F5-8C3C363B1F88}"/>
    <hyperlink ref="A705" r:id="rId137" display="https://www.dropbox.com/scl/fi/vo5knlflele6er8qvws3i/41097.pdf?rlkey=ryawqoi8htbsrvih6ly0eb9dh&amp;dl=0" xr:uid="{BB0D99C4-47B3-7842-A570-638022372E82}"/>
    <hyperlink ref="A706" r:id="rId138" display="https://www.dropbox.com/scl/fi/8tbewjl00la90idkrl3a1/41098.pdf?rlkey=iota03ne4nmzu2jsgyivbbdfi&amp;dl=0" xr:uid="{D2DC8A33-5B53-374F-96FC-9D9F89738CE8}"/>
    <hyperlink ref="A720" r:id="rId139" display="https://www.dropbox.com/scl/fi/tcd9dqzjpmkoghtv6yluc/41119.pdf?rlkey=f39m96vpb0hudkwrz8a69cpiu&amp;dl=0" xr:uid="{570298A2-1F02-1A40-8B3B-5F84514D4159}"/>
    <hyperlink ref="A721" r:id="rId140" display="https://www.dropbox.com/scl/fi/tyzrr3zv3wwbyk4pogx5f/41120.pdf?rlkey=yer9be8y8k5djck6jxhlxlbau&amp;dl=0" xr:uid="{EF873283-E4B3-B149-A58F-5F0262615198}"/>
    <hyperlink ref="A722" r:id="rId141" display="41121.pdf" xr:uid="{690E2C59-D720-4B4C-9D09-1509D3E2A14C}"/>
    <hyperlink ref="A723" r:id="rId142" display="https://www.dropbox.com/scl/fi/92omu5g2mhjmm7lh4q25k/41122.pdf?rlkey=74py1sif5biww5tfrq0eg27ei&amp;dl=0" xr:uid="{5C35ABE0-8031-9941-9F6E-AB0F1A5825BA}"/>
    <hyperlink ref="A724" r:id="rId143" display="https://www.dropbox.com/scl/fi/jdtq6gx6oe4uu5pzaiqqe/41127.pdf?rlkey=3wlapfz9ay2z7hus1tak1rai5&amp;dl=0" xr:uid="{DB531D87-3F50-784E-B397-5744C1BAD2B6}"/>
    <hyperlink ref="A726" r:id="rId144" display="https://www.dropbox.com/scl/fi/lc5qi5soimwgpg5lp44ov/41132.pdf?rlkey=qyejhuepcpn4k504kxyl0rqma&amp;dl=0" xr:uid="{06C21FAC-5669-0549-9762-7E8A783B9003}"/>
    <hyperlink ref="A727" r:id="rId145" display="https://www.dropbox.com/scl/fi/1ygucf4fo04td7z93n8in/41133.pdf?rlkey=tho161k1ez46ml0foequ37abq&amp;dl=0" xr:uid="{831234E1-BF5E-5E4A-9079-02D13A7AC16F}"/>
    <hyperlink ref="A728" r:id="rId146" display="https://www.dropbox.com/scl/fi/sogdst8ia6ije45td7tkc/41134.pdf?rlkey=gdzlv1xw8pt7p8togz4pnhjxw&amp;dl=0" xr:uid="{FD8A7C74-B317-8942-8277-99947A87FA86}"/>
    <hyperlink ref="A729" r:id="rId147" display="https://www.dropbox.com/scl/fi/0gwbrd96sm94on2dn5cgk/41135.pdf?rlkey=gg6ddkv19t9s8ogdln2kjfdo8&amp;dl=0" xr:uid="{2D49612A-7AEA-FB4C-AB40-5C251B61E59F}"/>
    <hyperlink ref="A730" r:id="rId148" display="https://www.dropbox.com/scl/fi/ihr5732y7ev3cc4amlfex/41137.pdf?rlkey=gcm1qtg8ep2gbu288p7ux8vj5&amp;dl=0" xr:uid="{A01CA1D9-4BB2-1F48-8089-7ED0FB11B2B8}"/>
    <hyperlink ref="A735" r:id="rId149" display="https://www.dropbox.com/scl/fi/hwr7gm15f1j09zdrxxpc2/41152.pdf?rlkey=o0nfxr9rrtdc694i8s4b9j9nr&amp;dl=0" xr:uid="{A996568B-B447-9C4B-8A61-28A80A8C098E}"/>
    <hyperlink ref="A736" r:id="rId150" display="https://www.dropbox.com/scl/fi/fs7uxwerbb8fxlhoaiah3/41153.pdf?rlkey=0vunqrnru7y0l5je4hy88nhug&amp;dl=0" xr:uid="{848D732C-F3C2-804A-AD7D-C1B12E7BDB8A}"/>
    <hyperlink ref="A737" r:id="rId151" display="https://www.dropbox.com/scl/fi/kj9k9dryiu7dy3duae84r/41154.pdf?rlkey=jerc1zmws2rxr7hpkz0riaus1&amp;dl=0" xr:uid="{DD42AED2-CD94-D741-88F2-46F5257FFAF9}"/>
    <hyperlink ref="A739" r:id="rId152" display="https://www.dropbox.com/scl/fi/o8fj4l11vpq52j3j9uftr/41158.pdf?rlkey=a85va6qh20f1yejf0tqqxlrcg&amp;dl=0" xr:uid="{352382EF-AD4B-D942-B809-82DBA28EF686}"/>
    <hyperlink ref="A743" r:id="rId153" display="https://www.dropbox.com/scl/fi/4ir1lu1yl8wq8myddvrfh/41163.pdf?rlkey=mc971y6my15sy2hgryt4n7jeu&amp;dl=0" xr:uid="{A2E7B3E7-1736-8C4A-8C38-4C5D45595C72}"/>
    <hyperlink ref="A744" r:id="rId154" display="https://www.dropbox.com/scl/fi/176nrr5unsygbn7faz86o/41164.pdf?rlkey=f9yv0qbarkapl2bsisc3sm7hw&amp;dl=0" xr:uid="{E940ADC5-0F9A-7144-959E-014EBA99CD91}"/>
    <hyperlink ref="A746" r:id="rId155" display="https://www.dropbox.com/scl/fi/0dssxpyb3j3pm6duwdkdq/41168.pdf?rlkey=z597tye0ksu0eeihn1s5i67xf&amp;dl=0" xr:uid="{83FCB2FA-67F6-9C4F-BB98-8001B5541F62}"/>
    <hyperlink ref="A747" r:id="rId156" display="https://www.dropbox.com/scl/fi/49jikmls7qflns2iqqojy/41169.pdf?rlkey=903puadskvpbpolseoztmgwue&amp;dl=0" xr:uid="{6001F542-1D69-F748-A37E-709309466CE7}"/>
    <hyperlink ref="A748" r:id="rId157" display="https://www.dropbox.com/scl/fi/1jamp81j5wzbbhcbit3y3/41172.pdf?rlkey=jcgxt16pepf2jpeavxxrrhwv4&amp;dl=0" xr:uid="{96D526A4-EC10-3E47-BAD5-621BDBECEAD4}"/>
    <hyperlink ref="A749" r:id="rId158" display="41177.pdf" xr:uid="{3A8E162A-70F4-A348-A991-309647192B8C}"/>
    <hyperlink ref="A750" r:id="rId159" display="https://www.dropbox.com/scl/fi/zcisp5crisasfesqtb5x0/41179.pdf?rlkey=3c0ousouu0ixd51ou2ujxqsno&amp;dl=0" xr:uid="{F59CE9CD-A2B7-6B43-AD11-58E9D661928D}"/>
    <hyperlink ref="A751" r:id="rId160" display="https://www.dropbox.com/scl/fi/2t79kw867j03x5tane00v/41180.pdf?rlkey=cmuodxbsnr30hzzdg6pvsg80x&amp;dl=0" xr:uid="{E1E954EA-30CC-684A-94CE-1DE2D0F52A14}"/>
    <hyperlink ref="A756" r:id="rId161" display="https://www.dropbox.com/scl/fi/q8713xoygl8wfk19iizco/41186.pdf?rlkey=fmbur3sxd218asxmbl5oqiqwh&amp;dl=0" xr:uid="{236F6F72-CB2A-F049-BE88-07D3F865F4D0}"/>
    <hyperlink ref="A758" r:id="rId162" display="https://www.dropbox.com/scl/fi/fwpys3socupbbhctb2185/41195.pdf?rlkey=yofne2zq7qyin6yzy8w7o38f4&amp;dl=0" xr:uid="{5AE92275-C030-1248-B0B5-30490D537F0B}"/>
    <hyperlink ref="A759" r:id="rId163" display="https://www.dropbox.com/scl/fi/4e6pnkg0f9xlxt9mgqqor/41196.pdf?rlkey=prswt5033n215jxyn6fbti5ub&amp;dl=0" xr:uid="{3461B1AA-505F-4344-BE1C-8FC6D9035565}"/>
    <hyperlink ref="A760" r:id="rId164" display="https://www.dropbox.com/scl/fi/4y3d4n3pm9gx7tqkkng7l/41197.pdf?rlkey=x645n4sc3plrhgkwismnj9jds&amp;dl=0" xr:uid="{2215A82C-468F-3A42-B3D5-E60D77D95E57}"/>
    <hyperlink ref="A761" r:id="rId165" display="https://www.dropbox.com/scl/fi/q2ejk2ema3dif0x4r8069/41198.pdf?rlkey=f90ieyhsu4zy5jll31qwyxxzn&amp;dl=0" xr:uid="{C00EA382-CD85-D845-B7FC-2B7EA7CE7BF3}"/>
    <hyperlink ref="A762" r:id="rId166" display="https://www.dropbox.com/scl/fi/u5bu2ln5ci8ia8zd25gpx/41199.pdf?rlkey=4ivr6y8zdu5vbedigpsx5wmof&amp;dl=0" xr:uid="{2DAA6F33-ED94-6740-8BE7-DFC2D91337BF}"/>
    <hyperlink ref="A763" r:id="rId167" display="https://www.dropbox.com/scl/fi/bx9n9u2tn2yjwnmosjwj5/41203.pdf?rlkey=mkwgf1dkmniojg3s4z6f3syah&amp;dl=0" xr:uid="{FE425180-8D92-EB4F-ADF4-18BFB0C6D223}"/>
    <hyperlink ref="A764" r:id="rId168" display="https://www.dropbox.com/scl/fi/1ft37zm3vjwlbkdzmj8fh/41204.pdf?rlkey=38t0yh0pxnlqqfpjw3wayxb0r&amp;dl=0" xr:uid="{0C54C5F8-C77A-1144-AB06-02D97796A318}"/>
    <hyperlink ref="A767" r:id="rId169" display="https://www.dropbox.com/scl/fi/9k0pklehg6dl40t3bi3sc/41209.pdf?rlkey=t1qm5pdf560mb6q9ljkr9ufrw&amp;dl=0" xr:uid="{08A71789-085D-C048-B349-48BACBA6DE32}"/>
    <hyperlink ref="A768" r:id="rId170" display="https://www.dropbox.com/scl/fi/4el0o79kxggt6hsz10li0/41211.pdf?rlkey=xc5gj7b3ipo3fk91wgt8l8u9h&amp;dl=0" xr:uid="{19D09432-32E7-0646-A9C8-A69D85D34AB9}"/>
    <hyperlink ref="A770" r:id="rId171" display="https://www.dropbox.com/scl/fi/1jj4g1zai11zn9ic7qaiw/41213.pdf?rlkey=vpoai9ebc5ycnu8qejfg2ut6m&amp;dl=0" xr:uid="{67E081E6-95AB-3943-B97D-5C817ADA0E91}"/>
    <hyperlink ref="A771" r:id="rId172" display="https://www.dropbox.com/scl/fi/c0432ydqyye0jlf5hvztv/41231.pdf?rlkey=z2lzo756ufokisfc9ldbk7wa6&amp;dl=0" xr:uid="{771BFE30-E6FC-934C-B574-047ABB004E07}"/>
    <hyperlink ref="A773" r:id="rId173" display="https://www.dropbox.com/scl/fi/i8ryoo22rpg0dapirceua/41238.pdf?rlkey=s9pkexrj2hlwkhs8kngrzt4l2&amp;dl=0" xr:uid="{75F2AA39-DCCE-AF4B-97B2-2E9F96233C7D}"/>
    <hyperlink ref="A777" r:id="rId174" display="https://www.dropbox.com/scl/fi/ktwaxutlg5ur2oz6208hu/41244.pdf?rlkey=3t6ux9icodtoasxxf68z6zl6f&amp;dl=0" xr:uid="{A3CB941C-741A-914E-9983-EEA23FF44A82}"/>
    <hyperlink ref="A785" r:id="rId175" display="https://www.dropbox.com/scl/fi/1jv5fjf9w17wj9dg12dqt/41260.pdf?rlkey=ey550v3xsz18fkt2q8h8g7tzi&amp;dl=0" xr:uid="{CF92F92A-2CD8-6D43-9ED0-E3EF67DA436B}"/>
    <hyperlink ref="A788" r:id="rId176" display="https://www.dropbox.com/scl/fi/99speg1cy2hhmrwllkotn/41265.pdf?rlkey=9y2pcjkp03n1a2w9pzseqenok&amp;dl=0" xr:uid="{AA1C6E8E-241C-884C-99DA-1EA3D8551DA1}"/>
    <hyperlink ref="A789" r:id="rId177" display="https://www.dropbox.com/scl/fi/9yva42iud08j7494jrov0/41266.pdf?rlkey=wbez2ghxpygtl3tq7t325y2yn&amp;dl=0" xr:uid="{F51754D3-171B-CE46-8205-D5B4F093EE7D}"/>
    <hyperlink ref="A790" r:id="rId178" display="https://www.dropbox.com/scl/fi/s976tymb010bntn81obt0/41267.pdf?rlkey=9wiafp2j5khrbm8ewpkst6vjf&amp;dl=0" xr:uid="{D2601154-97D2-4740-97D5-66A633123AC2}"/>
    <hyperlink ref="A792" r:id="rId179" display="https://www.dropbox.com/scl/fi/659rbnmfophnw4jzcoxto/41271.pdf?rlkey=jpiwam368cs7a33x04d52lhvr&amp;dl=0" xr:uid="{3658E319-4026-4E44-A471-2027C103981B}"/>
    <hyperlink ref="A793" r:id="rId180" display="https://www.dropbox.com/scl/fi/ydrua6qlbwlgtksh4asxz/41274.pdf?rlkey=sbg2e9i7wq56eomv7z6yw2ep2&amp;dl=0" xr:uid="{1D7B5D67-6E3B-174D-A109-D9F3161BB331}"/>
    <hyperlink ref="A796" r:id="rId181" display="https://www.dropbox.com/scl/fi/52y7b9hs8k2p7bnrbds9t/41278.pdf?rlkey=257oz5xxdycc3thzn6ib45cvn&amp;dl=0" xr:uid="{CE2D97B4-F551-5347-BD70-C4E0D831964B}"/>
    <hyperlink ref="A797" r:id="rId182" display="https://www.dropbox.com/scl/fi/0h7xke3316cdkzcrx5h2h/41279.pdf?rlkey=04ke3661czv15imfd346o4kcc&amp;dl=0" xr:uid="{31C2D6F7-4F7B-984A-8C5A-BC8373BFFA09}"/>
    <hyperlink ref="A800" r:id="rId183" display="https://www.dropbox.com/scl/fi/lj67w8dpufj6kie30on8o/41310.pdf?rlkey=4ozpugx7qfva3sxqyalmcc4uu&amp;dl=0" xr:uid="{0C06C8F7-DFBF-D54B-97C4-4CF9BE8CB8B2}"/>
    <hyperlink ref="A806" r:id="rId184" display="https://www.dropbox.com/scl/fi/dkegcsz3dm9amjz8v1cxm/41317.pdf?rlkey=cm1ixbs7vhp68bt91rqkyyg8o&amp;dl=0" xr:uid="{63D2AF4E-ADA6-5141-B1F1-27A6F1715BD1}"/>
    <hyperlink ref="A807" r:id="rId185" display="https://www.dropbox.com/scl/fi/e4y77f1z9gtofv4ixjavx/41319.pdf?rlkey=4nk1h7mqad7up8bx6qtoh4os8&amp;dl=0" xr:uid="{9017D0B3-95F2-2C44-A495-5CCCFC7C2F05}"/>
    <hyperlink ref="A815" r:id="rId186" display="https://www.dropbox.com/scl/fi/gmaw23kcl99zrw0e0e0jo/41337.pdf?rlkey=an4yhw670ecn0n2kbrl96f368&amp;dl=0" xr:uid="{2A045980-3D58-E04C-9745-13F693E9B62A}"/>
    <hyperlink ref="A816" r:id="rId187" display="https://www.dropbox.com/scl/fi/mmca9t8cyyxuolrt04j3i/41340.pdf?rlkey=d9a5mquevwimaoo6p4bpdfd94&amp;dl=0" xr:uid="{80940117-4392-0640-9992-3C912A666225}"/>
    <hyperlink ref="A817" r:id="rId188" display="https://www.dropbox.com/scl/fi/gp5kxpfhh7x5gd7achg9k/41341.pdf?rlkey=du0c105al8o9wjjzp0if5lbnj&amp;dl=0" xr:uid="{FDAAC9F5-9F87-0943-A84C-830B86D21BC6}"/>
    <hyperlink ref="A818" r:id="rId189" display="https://www.dropbox.com/scl/fi/u01caf0bblgqjv6ig9a5m/41344.pdf?rlkey=0vuwpgkp1e598m7zdcabz15c9&amp;dl=0" xr:uid="{258015FE-8B7F-1D48-BC8D-C74C14B6683D}"/>
    <hyperlink ref="A819" r:id="rId190" display="https://www.dropbox.com/scl/fi/w4aqd5zh79f6y4q6qfejq/41349.pdf?rlkey=x5e4u3nvny48y6kvr7m4e9dl0&amp;dl=0" xr:uid="{BA4A80AB-028A-6C4A-8B9F-0AAE052FE708}"/>
    <hyperlink ref="A820" r:id="rId191" display="https://www.dropbox.com/scl/fi/kzfhqwc93sa820wa7xfas/41350.pdf?rlkey=dh61oe4ijhth6nc0n513eycc1&amp;dl=0" xr:uid="{FE97A3BA-9090-FB4B-86D6-7442585B4E34}"/>
    <hyperlink ref="A821" r:id="rId192" display="https://www.dropbox.com/scl/fi/3wqszztsi76ccas2r14xd/41351.pdf?rlkey=zleuskum77lrhkqxc5y3nq8vj&amp;dl=0" xr:uid="{544EB894-772B-484E-8B54-44AF65C4C008}"/>
    <hyperlink ref="A822" r:id="rId193" display="https://www.dropbox.com/scl/fi/hm6h05tc3ato4etbsi4vt/41352.pdf?rlkey=2oxdkjnw1ezr81bcuf6kqmsr6&amp;dl=0" xr:uid="{6A248BA5-E6EE-3D41-A87E-E320CCD1C5E2}"/>
    <hyperlink ref="A823" r:id="rId194" display="https://www.dropbox.com/scl/fi/p1qh1kukrxkoiv4hdre0p/41353.pdf?rlkey=cepzgvvf1bs6xjho7dqzd5wbh&amp;dl=0" xr:uid="{58058FE8-B6AF-4B40-BB84-E03EFCFD80D8}"/>
    <hyperlink ref="A824" r:id="rId195" display="https://www.dropbox.com/scl/fi/1u6q5olwurhc2baqjsm2u/41354.pdf?rlkey=b1dadpqtaqltpn0j522refdps&amp;dl=0" xr:uid="{94BDC109-EA6B-F640-AC6D-156FAEF03C58}"/>
    <hyperlink ref="A825" r:id="rId196" display="https://www.dropbox.com/scl/fi/ic3tswcb9jsq8e3syw1ih/41355.pdf?rlkey=61vsksgxosnerovqv478n28zt&amp;dl=0" xr:uid="{8AB0F0A8-05CC-7E4B-ABC8-31B80EE51EFD}"/>
    <hyperlink ref="A826" r:id="rId197" display="https://www.dropbox.com/scl/fi/svtjvpvd7a4zu8v3lvcxu/41356.pdf?rlkey=h2elmw852rl11w3s9penle29u&amp;dl=0" xr:uid="{4AFB3FBB-B8BE-DF4F-A1A8-61BA34A026AD}"/>
    <hyperlink ref="A827" r:id="rId198" display="https://www.dropbox.com/scl/fi/dskx2q2ixprq59viikesh/41357.pdf?rlkey=yot4v15j8xc4ws0n07v6gkpk3&amp;dl=0" xr:uid="{3469B2CA-4ADE-4148-991C-7C3033FDBC27}"/>
    <hyperlink ref="A828" r:id="rId199" display="https://www.dropbox.com/scl/fi/hwararceqonenfv54ebm2/41358.pdf?rlkey=dsk44ev22o64tj83s9msncomc&amp;dl=0" xr:uid="{D15CDF0E-E1C7-BF49-83C0-8180DB8E71A6}"/>
    <hyperlink ref="A829" r:id="rId200" display="https://www.dropbox.com/scl/fi/1pmhsst5xgsvv8q5sksl2/41359.pdf?rlkey=krf1i0gom24rgfff3iwqe5uw9&amp;dl=0" xr:uid="{4BD4F41B-AFFF-624B-A4FA-CDE5B0F153A7}"/>
    <hyperlink ref="A830" r:id="rId201" display="https://www.dropbox.com/scl/fi/xf7oeor7yhrrdcc8iduo3/41360.pdf?rlkey=axliaq211bjbxbekgxewtxecr&amp;dl=0" xr:uid="{AC106EF0-B1C0-F247-8FAC-930176455880}"/>
    <hyperlink ref="A835" r:id="rId202" display="https://www.dropbox.com/scl/fi/m2xzh0gwbpwne5dodnbb9/41368.pdf?rlkey=2m7mryj60wg9ihpqw553v6wp4&amp;dl=0" xr:uid="{009597BC-19F2-F949-A356-4ABD4C3F83BE}"/>
    <hyperlink ref="A836" r:id="rId203" display="https://www.dropbox.com/scl/fi/lzoo8ayjst8ibt5u79vqt/41369.pdf?rlkey=m4gngbv70ks9lhmkkvogeksx7&amp;dl=0" xr:uid="{05DFCFE9-4A2B-534E-A8FD-CAAE0EDA43B5}"/>
    <hyperlink ref="A837" r:id="rId204" display="https://www.dropbox.com/scl/fi/igh6b88j3ohhngyhgql4d/41370.pdf?rlkey=mtgb9m262authpuj7vuw35dhr&amp;dl=0" xr:uid="{08005741-1744-E545-849E-177000F72001}"/>
    <hyperlink ref="A838" r:id="rId205" display="https://www.dropbox.com/scl/fi/0kuj5wpf3vkwteqx3hs8e/41371.pdf?rlkey=poqiw3npzs3h6lkuadk6zk6bn&amp;dl=0" xr:uid="{7A009DBA-61F0-3341-ACB1-87D208887B2F}"/>
    <hyperlink ref="A839" r:id="rId206" display="https://www.dropbox.com/scl/fi/2brwj9afnrnfp330ti8ut/41372.pdf?rlkey=i80x7ysn0hc70k6qidcmv7w3y&amp;dl=0" xr:uid="{736EB164-475C-FC42-B9A5-A5C81CFAF4F9}"/>
    <hyperlink ref="A840" r:id="rId207" display="https://www.dropbox.com/scl/fi/4xei0td32qtk31wj6crpn/41373.pdf?rlkey=veegwxiavt4ogb27tkw2ez1jw&amp;dl=0" xr:uid="{113DEFF9-90A1-894C-AB3D-C098CD665F95}"/>
    <hyperlink ref="A841" r:id="rId208" display="https://www.dropbox.com/scl/fi/iiba448kkgy6tj58o0hkg/41374.pdf?rlkey=v10b74a0u2uju0thhy263ggoz&amp;dl=0" xr:uid="{3DAD7893-C497-E247-B8A3-C52592FBB687}"/>
    <hyperlink ref="A842" r:id="rId209" display="https://www.dropbox.com/scl/fi/o6ii07k2yvhk6rlzydvn7/41375.pdf?rlkey=fyitj53o61pwe9qjrmo6qi0sm&amp;dl=0" xr:uid="{1315322E-E81A-484D-8E24-0AD2DA393DA0}"/>
    <hyperlink ref="A843" r:id="rId210" display="https://www.dropbox.com/scl/fi/7xq8tnylvmuv58xbqdbh2/41376.pdf?rlkey=o12q34b82841cwq5pfob7lsq5&amp;dl=0" xr:uid="{582F9906-2433-9445-B426-FB8DAE48628F}"/>
    <hyperlink ref="A844" r:id="rId211" display="https://www.dropbox.com/scl/fi/0i2z9tcnmxtgdwtcl82tr/41377.pdf?rlkey=c3w5tiay1sy4xp8xz1lmq2qcw&amp;dl=0" xr:uid="{876A85F2-CF0A-A546-93B9-D2D3CD5DFACE}"/>
    <hyperlink ref="A845" r:id="rId212" display="https://www.dropbox.com/scl/fi/rsjonjfim2was3879ww18/41378.pdf?rlkey=axjpzwye8etvcik8hju708fnz&amp;dl=0" xr:uid="{7D5BE26E-2380-2243-9B4A-BA90F28458E3}"/>
    <hyperlink ref="A846" r:id="rId213" display="https://www.dropbox.com/scl/fi/4o151yv06pa0pttt3nspc/41380.pdf?rlkey=5dp5cw5s9qkrfyhxo7u5f6bmh&amp;dl=0" xr:uid="{7C0DD7D4-67D0-0D42-BFB2-35FF60F94BE1}"/>
    <hyperlink ref="A851" r:id="rId214" display="41387.pdf" xr:uid="{1D08BCB4-5865-7941-B9F0-ABAB0F6D43CF}"/>
    <hyperlink ref="A852" r:id="rId215" display="https://www.dropbox.com/scl/fi/0qwdrbj0i1diyn3o6ci4p/41388.pdf?rlkey=kzfazwubddej32iddohfhlu75&amp;dl=0" xr:uid="{CB21A7CB-49D0-1C4B-820F-C809C8FEE565}"/>
    <hyperlink ref="A853" r:id="rId216" display="https://www.dropbox.com/scl/fi/yywojw53c18bg3bsrvdyv/41444.pdf?rlkey=kmet7sbm62tlb4ey6z1cp8tmz&amp;dl=0" xr:uid="{88AD0951-3116-A348-9077-353889729F53}"/>
    <hyperlink ref="A3" r:id="rId217" display="https://www.dropbox.com/scl/fi/c28gj1qk5vo9e2icbptci/39012.pdf?rlkey=12sghabepj04ezcnam592id6a&amp;dl=0" xr:uid="{CEE9294C-883A-7A45-98F5-4B4BC50E14EF}"/>
    <hyperlink ref="A4" r:id="rId218" display="https://www.dropbox.com/scl/fi/uthalj7sgsud80hrw1iir/39368.pdf?rlkey=qxqogcshxnvmy3pf0wkvwcpps&amp;dl=0" xr:uid="{D4DB20D5-F817-B74A-B9BE-1B4679EED31A}"/>
    <hyperlink ref="A5" r:id="rId219" display="https://www.dropbox.com/scl/fi/0dq0hccgtmzkcw0bvanpe/39417.pdf?rlkey=2vpy8v5i1dg5i7v4hwb8q5qsu&amp;dl=0" xr:uid="{606BA152-E0CF-1643-8CC4-88B92FB5EB12}"/>
    <hyperlink ref="A6" r:id="rId220" display="https://www.dropbox.com/scl/fi/2sqj4yodx6arpaf494nle/39418.pdf?rlkey=zn17c2rwah57z4qcx9tliv4kn&amp;dl=0" xr:uid="{25B8B21F-086F-6843-8C2E-B44C55767FBD}"/>
    <hyperlink ref="A7" r:id="rId221" display="https://www.dropbox.com/scl/fi/n3jiyfs7gvx6bx1ktocns/39419.pdf?rlkey=e27cd7iy1wn9kle8b7jccpoat&amp;dl=0" xr:uid="{CAAB54D0-E8B8-4047-991C-5C8856FC6F0B}"/>
    <hyperlink ref="A8" r:id="rId222" display="https://www.dropbox.com/scl/fi/t91jm5l3lpt8cyoiy0rad/39420.pdf?rlkey=bi0itxq0iw5vzspryr4ir1irh&amp;dl=0" xr:uid="{B3F2F874-9DAF-CF41-9B3E-EC289DFA96B6}"/>
    <hyperlink ref="A9" r:id="rId223" display="https://www.dropbox.com/scl/fi/vvrchmrzz3zkfx28odzs7/39423.pdf?rlkey=x39hsb4pnht6ab0h8mssg7p5o&amp;dl=0" xr:uid="{B81E3060-29BC-2943-8367-ACC517744FF5}"/>
    <hyperlink ref="A10" r:id="rId224" display="https://www.dropbox.com/scl/fi/p4gyqvbjm97q4y79bvg6o/39429.pdf?rlkey=3atkb13gzgn8ohkx8talxmfv3&amp;dl=0" xr:uid="{93566582-0E1B-0F49-9EA4-28C72B7540C7}"/>
    <hyperlink ref="A11" r:id="rId225" display="https://www.dropbox.com/scl/fi/bqtly2ohc9vw5o982s8lg/39433.pdf?rlkey=0vd0lt60vdupbwcczeiyrw7xc&amp;dl=0" xr:uid="{81E3458A-581E-0B4A-B544-016346B8C352}"/>
    <hyperlink ref="A12" r:id="rId226" display="https://www.dropbox.com/scl/fi/9msfyuk5j8fyfpujtjajv/39436.pdf?rlkey=yaens1nr7rz0mvct127zmnu7i&amp;dl=0" xr:uid="{2A2CB474-0CBF-7A44-B76B-937959D3FD96}"/>
    <hyperlink ref="A13" r:id="rId227" display="https://www.dropbox.com/scl/fi/vnqja6iwlr4wil74ny67n/39437.pdf?rlkey=rspfxd5iom3f0zocrjq3qdxph&amp;dl=0" xr:uid="{9F3CF77A-FC73-D044-8D3D-B27A2D5AD225}"/>
    <hyperlink ref="A14" r:id="rId228" display="https://www.dropbox.com/scl/fi/0vu7mau8abt3re8g4ghe0/39439.pdf?rlkey=9v7ib29y79vucsjkzwatftt1s&amp;dl=0" xr:uid="{210A4A4B-77F7-2E43-996B-6CD94A66934B}"/>
    <hyperlink ref="A15" r:id="rId229" display="https://www.dropbox.com/scl/fi/w2h3iowh6ccg03qa8pd7e/39440.pdf?rlkey=5acp2jw9eq51k2j4jdm02m6s4&amp;dl=0" xr:uid="{EEE1791C-0655-9E4B-B17A-2785E90C3000}"/>
    <hyperlink ref="A16" r:id="rId230" display="https://www.dropbox.com/scl/fi/4lpbaebyslp8toy7lw6vh/39441.pdf?rlkey=8xb5nfgrtr9gvn19mx4rm5kqt&amp;dl=0" xr:uid="{A3AA47A9-36B6-6143-A67E-E29DC7016E59}"/>
    <hyperlink ref="A17" r:id="rId231" display="https://www.dropbox.com/scl/fi/o0tkg7d9iq09x0fydwosa/39442.pdf?rlkey=3binc31hja3jjus1dcypu128o&amp;dl=0" xr:uid="{685306C4-29F9-A14C-8145-68E002A6EC0D}"/>
    <hyperlink ref="A18" r:id="rId232" display="https://www.dropbox.com/scl/fi/eei0wo54zkzkvceag60w5/39445.pdf?rlkey=jsjpuestwldjromc5un0eyqn3&amp;dl=0" xr:uid="{B2909450-979A-CD48-B5F1-96C463DF8C29}"/>
    <hyperlink ref="A19" r:id="rId233" display="https://www.dropbox.com/scl/fi/rwu8rsrodl7rdjki8syk1/39446.pdf?rlkey=8173c2usc2zz5mjb9x50y41bq&amp;dl=0" xr:uid="{AD77713C-2659-2949-B5BB-87A7DE1E3E0C}"/>
    <hyperlink ref="A20" r:id="rId234" display="https://www.dropbox.com/scl/fi/2kk71ffs93yx91cs1lzna/39451.pdf?rlkey=mzn8uo9dw0dgtrn5uyk2ibk0r&amp;dl=0" xr:uid="{3462E52E-3661-3E45-B383-467748DA00C3}"/>
    <hyperlink ref="A21" r:id="rId235" display="https://www.dropbox.com/scl/fi/usmm0ncr5ot8ewvlqf09i/39452.pdf?rlkey=qsm2i6o7jozlq4l1yr40tan8e&amp;dl=0" xr:uid="{448FFEFA-44F5-414B-A8DF-B955C0567C65}"/>
    <hyperlink ref="A22" r:id="rId236" display="https://www.dropbox.com/scl/fi/lqw142e781v3g376z20ja/39465.pdf?rlkey=7zjgevjw669nmqee36xttpucw&amp;dl=0" xr:uid="{5EDC1B78-5B0D-3546-AEDF-34536B89A433}"/>
    <hyperlink ref="A23" r:id="rId237" display="https://www.dropbox.com/scl/fi/8ib13c7og84h487o46du8/39466.pdf?rlkey=u5tbjqigs30g5c8lenm48lyn7&amp;dl=0" xr:uid="{C426DB9C-9E17-2947-991A-10101D609483}"/>
    <hyperlink ref="A24" r:id="rId238" display="https://www.dropbox.com/scl/fi/d1ecstfdki3ui6c2897tb/39467.pdf?rlkey=k8nfbjm06ysff6t27vy9n8u2e&amp;dl=0" xr:uid="{FFBF84F3-D1AF-D843-B2E2-0CB94229C60A}"/>
    <hyperlink ref="A25" r:id="rId239" display="https://www.dropbox.com/scl/fi/hbha7zin3coscw6jdzwze/39468.pdf?rlkey=dll85iq7kspe3jb15ic5anb4c&amp;dl=0" xr:uid="{EE99E80B-D5E3-FC49-A168-B828348D0F3B}"/>
    <hyperlink ref="A26" r:id="rId240" display="https://www.dropbox.com/scl/fi/w8p9b7olajzfrrttlxxlj/39469.pdf?rlkey=8vq7809kydpfrvda0cfq26dnm&amp;dl=0" xr:uid="{2B92AE80-E928-6844-99C7-5A6EC9D8F82D}"/>
    <hyperlink ref="A27" r:id="rId241" display="https://www.dropbox.com/scl/fi/kksiza7g7srq86nv8hu63/39470.pdf?rlkey=d50m8neb2vxwg0fn4v2g0h33w&amp;dl=0" xr:uid="{211F8079-C5D3-6949-BEAA-59C29AA076ED}"/>
    <hyperlink ref="A28" r:id="rId242" display="https://www.dropbox.com/scl/fi/67nyvre9zuwwncojvu0o3/39471.pdf?rlkey=zui6c3ul3o92thckpttyv2qey&amp;dl=0" xr:uid="{699199DB-C352-834F-8445-51650957DE29}"/>
    <hyperlink ref="A29" r:id="rId243" display="https://www.dropbox.com/scl/fi/lgwdu4xw51kb2r0r6unoa/39472.pdf?rlkey=na863mnwz1amgg3d7mro7vri8&amp;dl=0" xr:uid="{87508A29-5CF9-514F-98A8-1E8502D872BA}"/>
    <hyperlink ref="A30" r:id="rId244" display="https://www.dropbox.com/scl/fi/icdkyabuij8tt46ebm68c/39476.pdf?rlkey=i2ldnfy0iy4n8pip4wui4o6cn&amp;dl=0" xr:uid="{98B5E59C-861D-A44D-A9D4-F844D21F64E4}"/>
    <hyperlink ref="A31" r:id="rId245" display="https://www.dropbox.com/scl/fi/ouftfgj6jydbplqcckhvy/39479.pdf?rlkey=tw64zutcy7xu20jsqn9nejclf&amp;dl=0" xr:uid="{C00599EB-FFE9-1B42-99FF-72F179E8FAA0}"/>
    <hyperlink ref="A32" r:id="rId246" display="https://www.dropbox.com/scl/fi/d5kqe64uoffd17zyk9yy1/39482.pdf?rlkey=18pyzustm4bif5x5wldz6zznp&amp;dl=0" xr:uid="{13E1323B-F574-114D-A91D-BCD6C21772C5}"/>
    <hyperlink ref="A33" r:id="rId247" display="https://www.dropbox.com/scl/fi/ek2hgoer6g4qlvmzz08od/39483.pdf?rlkey=hwr7ygxa9cm1kdif9mtenmfzj&amp;dl=0" xr:uid="{A3499616-6104-2248-A248-BEC0AF8D9191}"/>
    <hyperlink ref="A34" r:id="rId248" display="https://www.dropbox.com/scl/fi/8tatsm27ji9hk1outmycy/39484.pdf?rlkey=00h6p7i9qlocr9udh2w744h9u&amp;dl=0" xr:uid="{D2DD77EA-5419-7A48-AC73-1D6D0B0842E3}"/>
    <hyperlink ref="A35" r:id="rId249" display="https://www.dropbox.com/scl/fi/60fb7glsueoec7c2rke9c/39495.pdf?rlkey=2783dq4tgd33q1xp2qwdrxh8i&amp;dl=0" xr:uid="{9F62D2D7-7689-8348-B4BF-C0414E7EB83C}"/>
    <hyperlink ref="A36" r:id="rId250" display="https://www.dropbox.com/scl/fi/wu8php908iltwlvhekal3/39502.pdf?rlkey=hy8kvlff8mroj60apflaup2jd&amp;dl=0" xr:uid="{3CF27E9A-DB77-9942-A040-6B41C4CF40F1}"/>
    <hyperlink ref="A37" r:id="rId251" display="https://www.dropbox.com/scl/fi/8b38xlh9i0smeuarywj18/39504.pdf?rlkey=2bj3rs4p5s6mh8e8u8ut6m10b&amp;dl=0" xr:uid="{FBFE5CE8-365F-974C-8E60-52921B16F8E3}"/>
    <hyperlink ref="A38" r:id="rId252" display="https://www.dropbox.com/scl/fi/fh8dqavbdgwg7h1hnmibr/39509.pdf?rlkey=dqpcuqb73xmdynzustidmn0ly&amp;dl=0" xr:uid="{948ED619-089B-7044-AD2A-9FD23C69404B}"/>
    <hyperlink ref="A39" r:id="rId253" display="https://www.dropbox.com/scl/fi/y5njc3gjzvkdvzzbe0tge/39511.pdf?rlkey=wh1qg637baj939hu0qfpvxkdh&amp;dl=0" xr:uid="{7A216F6E-042B-9649-B064-4840D543BC30}"/>
    <hyperlink ref="A40" r:id="rId254" display="https://www.dropbox.com/scl/fi/4k164vz13sba2shoqrbiv/39521.pdf?rlkey=nrzgqoilvxz3dmyzxs4lbnrbb&amp;dl=0" xr:uid="{B9BACDB7-054D-A34D-9A3F-F3277D4B4914}"/>
    <hyperlink ref="A41" r:id="rId255" display="https://www.dropbox.com/scl/fi/9y1g8jwvjy5ed3pazauc4/39522.pdf?rlkey=pq9v9d92jvljqnmhbkkdepdy5&amp;dl=0" xr:uid="{D9E6BFE2-ADD6-F64E-ADCC-DB597BA03089}"/>
    <hyperlink ref="A42" r:id="rId256" display="https://www.dropbox.com/scl/fi/5msjsi4cgerqd0781aaac/39525.pdf?rlkey=cporkymwg58ufnfeqt3ubhhbs&amp;dl=0" xr:uid="{95B6AAD8-F223-0044-97C1-328053D2E089}"/>
    <hyperlink ref="A43" r:id="rId257" display="https://www.dropbox.com/scl/fi/cojb3fbybz34m0byc4mdf/39526.pdf?rlkey=a6cp96ds8x5e7lpf1kwlfno42&amp;dl=0" xr:uid="{9E8AF050-437C-2F4D-884A-5B663B5BB792}"/>
    <hyperlink ref="A44" r:id="rId258" display="https://www.dropbox.com/scl/fi/z3z5s9my9vrq3al1l94hg/39527.pdf?rlkey=uat27qppx1jxrbp2ays2n4scx&amp;dl=0" xr:uid="{0B40BDC1-5336-544C-AD89-1DCAB8D2C1E5}"/>
    <hyperlink ref="A45" r:id="rId259" display="https://www.dropbox.com/scl/fi/ln3hns5ixjrle44d3569v/39528.pdf?rlkey=7j64prrhxgwh24f1oup2xz98w&amp;dl=0" xr:uid="{72C44701-6D9A-E348-A6E8-A5729246DAD4}"/>
    <hyperlink ref="A46" r:id="rId260" display="https://www.dropbox.com/scl/fi/t9r2iwofgrj1xbctlmmhj/39529.pdf?rlkey=8t64rdruvbp2q6hhgjekrcnad&amp;dl=0" xr:uid="{1BF0EE6B-C02A-B549-99E5-F35869BD4A4C}"/>
    <hyperlink ref="A47" r:id="rId261" display="https://www.dropbox.com/scl/fi/b0wlc4x86900xqfmenbve/39530.pdf?rlkey=hzcfd498zfvhbqunhfzb45ba1&amp;dl=0" xr:uid="{D25BD903-C2C9-E94E-BCC2-7264DE206A4A}"/>
    <hyperlink ref="A48" r:id="rId262" display="https://www.dropbox.com/scl/fi/4ale29beqpcndopdndn5n/39531.pdf?rlkey=3pm1qga48bqlrjf0csqp858wa&amp;dl=0" xr:uid="{5CBEEEC2-020A-7A4A-95A1-CFA83DB73658}"/>
    <hyperlink ref="A49" r:id="rId263" display="https://www.dropbox.com/scl/fi/0o9agcprejo5trtoe3ns6/39532.pdf?rlkey=zhxkdixo9fw8yx1eh15s0s8ph&amp;dl=0" xr:uid="{E8724D39-1272-1E44-9116-3ABB66DAC011}"/>
    <hyperlink ref="A50" r:id="rId264" display="https://www.dropbox.com/scl/fi/elxbgc18u3t8e8rbh6vq5/39536.pdf?rlkey=jbhhwa4pxo1ds6sf5jby358ng&amp;dl=0" xr:uid="{43053842-966E-2D41-8BD7-0BC745D6742A}"/>
    <hyperlink ref="A51" r:id="rId265" display="https://www.dropbox.com/scl/fi/xrwk342509zk87ykk49ha/39538.pdf?rlkey=t5uu1qqk6k33wz8zmu9vy2z69&amp;dl=0" xr:uid="{8CBB6756-8138-8246-A4EA-E1438803694F}"/>
    <hyperlink ref="A52" r:id="rId266" display="https://www.dropbox.com/scl/fi/c9648lu17qoohmfqlqprl/39539.pdf?rlkey=u7uo3am0vlwnghb9j2bc93083&amp;dl=0" xr:uid="{839A6730-B86D-0646-9F7E-9367BAD7C60E}"/>
    <hyperlink ref="A53" r:id="rId267" display="https://www.dropbox.com/scl/fi/46z5j1z8xijgex07xt8qu/39556.pdf?rlkey=tmrr3h4yrwnunpr0fnesqomu9&amp;dl=0" xr:uid="{B1985A0D-F3C2-B240-AF7A-F3D025BD7E47}"/>
    <hyperlink ref="A54" r:id="rId268" display="https://www.dropbox.com/scl/fi/1nmdij0tcqnm56q2jzs24/39559.pdf?rlkey=qbysffimuv8b5tmhufh8e2jfy&amp;dl=0" xr:uid="{966AD726-EFE0-1B48-A184-F9049732CA03}"/>
    <hyperlink ref="A55" r:id="rId269" display="https://www.dropbox.com/scl/fi/q3ht7440qavvmu5v0g9i9/39564.pdf?rlkey=yuktbd4jq6k9fsy19kx66xu96&amp;dl=0" xr:uid="{6BFC16A7-EA54-E647-B43D-0F0CF40F4BEA}"/>
    <hyperlink ref="A56" r:id="rId270" display="https://www.dropbox.com/scl/fi/a66vn7yka7lxi5m4lry9b/39565.pdf?rlkey=rwb3dx9s0v3d8f0uqewhec2n5&amp;dl=0" xr:uid="{8DC5D2BF-1900-DD43-BED3-8E5C9D3B3620}"/>
    <hyperlink ref="A57" r:id="rId271" display="https://www.dropbox.com/scl/fi/453kgb3lvrcfutisuv61m/39566.pdf?rlkey=veew3rv7q6lehmwtj86b6qval&amp;dl=0" xr:uid="{B6897010-0ACE-1A4C-A014-308D2A48509D}"/>
    <hyperlink ref="A58" r:id="rId272" display="https://www.dropbox.com/scl/fi/7qajsld3easdmoww35j3t/39575.pdf?rlkey=y33jw5rdd3015hs14j9w7f832&amp;dl=0" xr:uid="{6CFFBFD6-DC1A-5248-9519-A1442B29F2F4}"/>
    <hyperlink ref="A59" r:id="rId273" display="https://www.dropbox.com/scl/fi/2h558sxc99lj0b99q4udh/39577.pdf?rlkey=zvm8eidgf6n9ee0lm0m6dv47a&amp;dl=0" xr:uid="{2B2EBBCC-0899-FD4A-AE2D-48D78ABA0645}"/>
    <hyperlink ref="A60" r:id="rId274" display="https://www.dropbox.com/scl/fi/r8o5yk3g5q2wf6spki4f7/39584.pdf?rlkey=0igjb1opl1cgxd4zbbsqo855n&amp;dl=0" xr:uid="{CF2DE4C4-C01C-014C-9716-360FBC820866}"/>
    <hyperlink ref="A61" r:id="rId275" display="https://www.dropbox.com/scl/fi/buhzjcd5gjjop7y7b5afo/39585.pdf?rlkey=zrksldzv57uwp9gms0olrks9s&amp;dl=0" xr:uid="{01F95D16-734E-7249-8D69-B60BD0E9AF9E}"/>
    <hyperlink ref="A62" r:id="rId276" display="https://www.dropbox.com/scl/fi/31xe3yitnabeb98sswink/39591.pdf?rlkey=l1zzdxdo34tf2bmdjdpjyqex9&amp;dl=0" xr:uid="{1F3E4E5F-1B79-794B-985F-5AE4F311C2B6}"/>
    <hyperlink ref="A63" r:id="rId277" display="https://www.dropbox.com/scl/fi/emfvjqvwain4bhmtrsn58/39592.pdf?rlkey=mlrm2ljap71tgkiyf46u4z2u0&amp;dl=0" xr:uid="{948060D4-84D2-264B-A7E1-D8E6B3B02DF6}"/>
    <hyperlink ref="A64" r:id="rId278" display="https://www.dropbox.com/scl/fi/eqpi6x46zti9tuohoj4m8/39593.pdf?rlkey=d0zrjwzzsyq0p6ay1xj9i00ql&amp;dl=0" xr:uid="{1C4D5D76-3439-9740-868A-D587F353A0CF}"/>
    <hyperlink ref="A65" r:id="rId279" display="https://www.dropbox.com/scl/fi/klnsrdjrgtdbapl5tjdgi/39594.pdf?rlkey=paesjt1ddr3nh1zq0la3jx6w7&amp;dl=0" xr:uid="{7A476E7E-B666-B24C-9002-3357BF4EABB3}"/>
    <hyperlink ref="A66" r:id="rId280" display="https://www.dropbox.com/scl/fi/nj9yoiempqiougtucvsly/39595.pdf?rlkey=kqn7qky2q54l8qkqy05x1atdt&amp;dl=0" xr:uid="{99F53996-04C1-A742-9374-75DD85B15F36}"/>
    <hyperlink ref="A67" r:id="rId281" display="https://www.dropbox.com/scl/fi/ex5jcon3egxpvoh7zdcwe/39597.pdf?rlkey=83iopix6mu3cc13nf94osqrtu&amp;dl=0" xr:uid="{1A05E8B0-18F2-AE4A-A9F6-B50BF7CEC268}"/>
    <hyperlink ref="A68" r:id="rId282" display="https://www.dropbox.com/scl/fi/cp35jsuorzndd0w1hgg3v/39602.pdf?rlkey=q0v6r5mrf6qc77kmipya56u1t&amp;dl=0" xr:uid="{320AA2B5-E6B4-6949-AC2E-9B9686F5CC4E}"/>
    <hyperlink ref="A69" r:id="rId283" display="https://www.dropbox.com/scl/fi/ovw118i1icqx9ugmm605s/39607.pdf?rlkey=f4lgyj6rln9g752286bqkau2l&amp;dl=0" xr:uid="{A1AB9DD0-FECB-9F4F-8B15-A0DF5BE158F3}"/>
    <hyperlink ref="A70" r:id="rId284" display="https://www.dropbox.com/scl/fi/jtpiypy5ohoxdpymkx1li/39608.pdf?rlkey=qad9arye3iitpix0bzdi2f6ik&amp;dl=0" xr:uid="{9CF45800-732E-0546-9A6C-0FB38E3EE534}"/>
    <hyperlink ref="A71" r:id="rId285" display="https://www.dropbox.com/scl/fi/a8jhjijjd0sfk74ow4acb/39610.pdf?rlkey=f3yuenvtf8rn75fg02wyj747i&amp;dl=0" xr:uid="{8F3CC1C1-8484-C549-89DD-90E6413A3081}"/>
    <hyperlink ref="A72" r:id="rId286" display="https://www.dropbox.com/scl/fi/kozxwrr1brk1gilbttq43/39611.pdf?rlkey=dm2ihpw4k18dyxwy7hsk7x7m6&amp;dl=0" xr:uid="{7C377C35-D195-AC4A-AD18-070810CC161E}"/>
    <hyperlink ref="A73" r:id="rId287" display="https://www.dropbox.com/scl/fi/3scu083t9jl5b0ozqakxw/39613.pdf?rlkey=z6g4bgor3gqdt15kripjf9ifq&amp;dl=0" xr:uid="{CBFCD4D8-8A36-D044-BF2D-5141B491F3C8}"/>
    <hyperlink ref="A74" r:id="rId288" display="https://www.dropbox.com/scl/fi/aj6vzcbx5cls0rgegjth9/39614.pdf?rlkey=ube7m9skr63ehpr51o2300wl4&amp;dl=0" xr:uid="{9B2C4687-E544-BB40-8E30-763864A17CBE}"/>
    <hyperlink ref="A75" r:id="rId289" display="https://www.dropbox.com/scl/fi/z2a71aq1m82qcq9qu27by/39615.pdf?rlkey=84bp4mw3y9al6awcj4palhuq1&amp;dl=0" xr:uid="{694465D5-639D-AE40-87E6-2BC77B2F2C9D}"/>
    <hyperlink ref="A76" r:id="rId290" display="https://www.dropbox.com/scl/fi/xlyxysgtf2zd9ch0i4adw/39616.pdf?rlkey=777qgw19y25degnvzzplihysf&amp;dl=0" xr:uid="{882D05C0-ECDD-BE45-B1EB-1D246FCCBD86}"/>
    <hyperlink ref="A77" r:id="rId291" display="https://www.dropbox.com/scl/fi/lkky9fssf93afwu1jmkac/39617.pdf?rlkey=0jutt15t2yqmbucbeny44645x&amp;dl=0" xr:uid="{E97B45F2-BC91-F242-B46C-6C100F1737CD}"/>
    <hyperlink ref="A78" r:id="rId292" display="https://www.dropbox.com/scl/fi/7qp5tu4v8xwj0bk6bb8d1/39618.pdf?rlkey=02kegwsjsm59leotevpixu8tr&amp;dl=0" xr:uid="{3EF2C5B1-92F5-A943-B77D-7606A2FE2585}"/>
    <hyperlink ref="A79" r:id="rId293" display="https://www.dropbox.com/scl/fi/b4du4n2dbj7bc04rwwp1d/39620.pdf?rlkey=459q1zqytklcl3smye4ognrcg&amp;dl=0" xr:uid="{A7D493D7-FF0F-CA44-9A87-9382E452ACDA}"/>
    <hyperlink ref="A80" r:id="rId294" display="https://www.dropbox.com/scl/fi/itvsckku9kzodvewkvaib/39622.pdf?rlkey=e3ofl7zn6d9gthxg0nt1rgf8i&amp;dl=0" xr:uid="{6DE6677C-1498-7948-80C6-D4DA24964C10}"/>
    <hyperlink ref="A81" r:id="rId295" display="https://www.dropbox.com/scl/fi/x212sgp6c65exz7o5hag7/39623.pdf?rlkey=2fxtxfae96mj4kzmknbaqybti&amp;dl=0" xr:uid="{A02E5931-58EC-364F-A4F9-3BD415985741}"/>
    <hyperlink ref="A82" r:id="rId296" display="https://www.dropbox.com/scl/fi/4dl65i5s8a4b1lleu0y0a/39625.pdf?rlkey=0rac63j0iuhvhwv98jrs93e4k&amp;dl=0" xr:uid="{1934C607-E41D-3F4A-9E9A-724F05A7556E}"/>
    <hyperlink ref="A83" r:id="rId297" display="https://www.dropbox.com/scl/fi/zr3302zozdrla55af9r55/39627.pdf?rlkey=dcnder8m3nxhkmf9zsphdz8xq&amp;dl=0" xr:uid="{1D4369A3-0EC0-C54D-9011-D0BFA3F3EAE5}"/>
    <hyperlink ref="A84" r:id="rId298" display="https://www.dropbox.com/scl/fi/18rz54mqqsu3c0aknlto4/39628.pdf?rlkey=vry50t173rloym5rm2ld9mm34&amp;dl=0" xr:uid="{FF4FC78A-938D-1941-AA1D-266E93693F30}"/>
    <hyperlink ref="A85" r:id="rId299" display="https://www.dropbox.com/scl/fi/bccwuaxi2bbcgbg3qjhb7/39631.pdf?rlkey=hryzxglgl58t89cz1kmh13gf3&amp;dl=0" xr:uid="{219081E7-0212-FF43-91B7-DF65685A3B35}"/>
    <hyperlink ref="A86" r:id="rId300" display="https://www.dropbox.com/scl/fi/7tfnjg9bjxo9ank5hgx1j/39632.pdf?rlkey=rry76dysqq2yhuvavnqj462ns&amp;dl=0" xr:uid="{3287F499-545E-4C47-B7F5-119BBAA76ECB}"/>
    <hyperlink ref="A87" r:id="rId301" display="https://www.dropbox.com/scl/fi/mzf8ur2iuoigtrqfjrm7h/39633.pdf?rlkey=4o19bod7ek0yu5m4c91rea7qz&amp;dl=0" xr:uid="{7FAE78C0-1BC5-2241-9AF3-12B3D57B875C}"/>
    <hyperlink ref="A88" r:id="rId302" display="https://www.dropbox.com/scl/fi/hqaeqz9fl338nw8tazomz/39634.pdf?rlkey=i4gjkkp56mojvh85q7mbgfk88&amp;dl=0" xr:uid="{CB804516-C3B4-634D-81E1-6A7C84BD41D1}"/>
    <hyperlink ref="A89" r:id="rId303" display="https://www.dropbox.com/scl/fi/91ujhla46igx6qwv8itct/39635.pdf?rlkey=gqrivttl4qg9abed1ze8zf5c2&amp;dl=0" xr:uid="{D10C7268-DBAF-2E43-979E-69691EEFE11B}"/>
    <hyperlink ref="A90" r:id="rId304" display="https://www.dropbox.com/scl/fi/5rekqcfdy7tvg73y5gebd/39636.pdf?rlkey=djojzut4po19jb1lkhipjb18k&amp;dl=0" xr:uid="{1716EEBE-EC2A-1848-A4F2-1D8556FB543E}"/>
    <hyperlink ref="A91" r:id="rId305" display="https://www.dropbox.com/scl/fi/krf9xibagga808lxzjlnh/39648.pdf?rlkey=8a1ixog6utfgxpq9cbmdtzfnm&amp;dl=0" xr:uid="{EB9BD925-C676-A742-A00C-3BC94F87937A}"/>
    <hyperlink ref="A92" r:id="rId306" display="https://www.dropbox.com/scl/fi/pzr5x3qt7aq957e9kad6y/39650.pdf?rlkey=dos3xwei4rtg60fw84n4w41fs&amp;dl=0" xr:uid="{453486F4-F7B0-1A4C-91D5-266F8CC013C1}"/>
    <hyperlink ref="A93" r:id="rId307" display="https://www.dropbox.com/scl/fi/v1iqf0v888w59527o4gdp/39651.pdf?rlkey=r8w7o8i190fblw0ee3ro4nftb&amp;dl=0" xr:uid="{EAE454BE-D0E9-EA4E-9D4C-9B2B2039CF8B}"/>
    <hyperlink ref="A94" r:id="rId308" display="https://www.dropbox.com/scl/fi/pr3ngsbqkvoy46nsghuo5/39656.pdf?rlkey=7nm61p5zgravuefif2hdpj1uz&amp;dl=0" xr:uid="{31B65D3F-A6E2-DB42-BC1B-30B299C8C1CA}"/>
    <hyperlink ref="A95" r:id="rId309" display="https://www.dropbox.com/scl/fi/v1avqqktanns7ls8lzs2m/39658.pdf?rlkey=h0kuhbaik9pj0uznb3rymmksf&amp;dl=0" xr:uid="{0109FFBD-4574-1743-9F54-A0B4CEAC46AE}"/>
    <hyperlink ref="A96" r:id="rId310" display="https://www.dropbox.com/scl/fi/xqmnsgq12s5yjtxavzft8/39659.pdf?rlkey=t29hpat45e4a1mku6xywvd78n&amp;dl=0" xr:uid="{5D56CEFD-F65A-4748-B799-FAC9683F091E}"/>
    <hyperlink ref="A97" r:id="rId311" display="https://www.dropbox.com/scl/fi/19hmshpv8tw8p4zfb3ne6/39662.pdf?rlkey=t13fdpmc5np3ufiyr8a1lhfn8&amp;dl=0" xr:uid="{333C8170-6939-CC46-8B6A-2EE4A682F1D0}"/>
    <hyperlink ref="A98" r:id="rId312" display="https://www.dropbox.com/scl/fi/4tygfo1y6ym26e5gatcn6/39668.pdf?rlkey=oyl2p1x16jibeceufc13uy9a9&amp;dl=0" xr:uid="{850BB0A0-5D23-124D-A1B1-74FB41300E09}"/>
    <hyperlink ref="A99" r:id="rId313" display="https://www.dropbox.com/scl/fi/zaehxe0oklrew2286y19t/39669.pdf?rlkey=4p2zrkyu5z7ndge50cjjjnw8i&amp;dl=0" xr:uid="{FA15336B-393D-F04C-9D51-61EEB5615F38}"/>
    <hyperlink ref="A100" r:id="rId314" display="https://www.dropbox.com/scl/fi/zhqqvkehbze14xqenmkw8/39670.pdf?rlkey=ws0rxgpoc38shdmri6u8kzr5a&amp;dl=0" xr:uid="{4D54A83B-8543-0345-9187-9C1F9EE4E930}"/>
    <hyperlink ref="A101" r:id="rId315" display="https://www.dropbox.com/scl/fi/zsxsmlpac9imxf97fhfxk/39671.pdf?rlkey=l9b6ohvcybz4zj66huomfwxxx&amp;dl=0" xr:uid="{E7526963-E12E-494C-81E4-B8318D753DB5}"/>
    <hyperlink ref="A102" r:id="rId316" display="https://www.dropbox.com/scl/fi/vy9j77tg8py2nk0yb3xhe/39672.pdf?rlkey=s7uc4cm0b6wvf1xgs7i8k0842&amp;dl=0" xr:uid="{3911ED33-9BD0-814E-BF31-E7CB61F3E7FB}"/>
    <hyperlink ref="A103" r:id="rId317" display="https://www.dropbox.com/scl/fi/947abb0scmqyz5826nx7n/39676.pdf?rlkey=dglizp9tr1o9uubcmni6br4lm&amp;dl=0" xr:uid="{36399B85-8F6A-4846-84F6-3A43B7A82B59}"/>
    <hyperlink ref="A104" r:id="rId318" display="https://www.dropbox.com/scl/fi/gm1t004rj1hvl2b6009aq/39677.pdf?rlkey=pyh4wiabuodcgkj290t0qf3i7&amp;dl=0" xr:uid="{C2DEA05E-90B0-8D47-92F8-58F14C6DB6FC}"/>
    <hyperlink ref="A105" r:id="rId319" display="https://www.dropbox.com/scl/fi/0gt62shnlkr6l1tyczefr/39697.pdf?rlkey=hu93dtv5sytm4nchrcrkpby5i&amp;dl=0" xr:uid="{B16EF5A9-4A5A-D544-9B7F-3922AB30DFC7}"/>
    <hyperlink ref="A106" r:id="rId320" display="https://www.dropbox.com/scl/fi/8w238ewfgem4zqfat3v9h/39698.pdf?rlkey=krtqbekrmh1tnfor400kc7rwu&amp;dl=0" xr:uid="{EAA04C6A-D2C8-944F-88F5-B10985DAEE10}"/>
    <hyperlink ref="A107" r:id="rId321" display="https://www.dropbox.com/scl/fi/5kbz7nxvkz2e8vq41umhc/39704.pdf?rlkey=lc0yq0mamnvwpplpnggrdo3kl&amp;dl=0" xr:uid="{B9964031-0A4F-9B45-9618-9894889BA268}"/>
    <hyperlink ref="A109" r:id="rId322" display="https://www.dropbox.com/scl/fi/qob2g6dwhphlhsfealmb6/39714.pdf?rlkey=hzzyzu1b772djmeyh0n7abf1c&amp;dl=0" xr:uid="{AB7BC5EC-BC17-1546-B7F9-1F1BCF2904E4}"/>
    <hyperlink ref="A110" r:id="rId323" display="https://www.dropbox.com/scl/fi/cun01dg6eevamqlnc9gg2/39719.pdf?rlkey=pma4mslaz5qedtk95ql9t3fs6&amp;dl=0" xr:uid="{DCBD3171-D930-5B43-B95E-0FB9D1EB75FC}"/>
    <hyperlink ref="A108" r:id="rId324" display="https://www.dropbox.com/scl/fi/hfnidi31l3so0flpytwkw/39713.pdf?rlkey=s3l6p2u6xzpinmvc925t9sm0z&amp;dl=0" xr:uid="{15B865EE-9002-0745-8A7C-C247F76B3895}"/>
    <hyperlink ref="A111" r:id="rId325" display="https://www.dropbox.com/scl/fi/nri3cxqvwvddrrzxc4zbh/39720.pdf?rlkey=g076g51gvzda0b0t2ytlkzfjw&amp;dl=0" xr:uid="{46301B8B-F085-7A47-9822-03A223B622B1}"/>
    <hyperlink ref="A112" r:id="rId326" display="https://www.dropbox.com/scl/fi/vka31rp83g886nobiva6z/39721.pdf?rlkey=2q7jzd75c3u6hyyax641hy077&amp;dl=0" xr:uid="{1233E848-AA5A-254B-A3D0-79E83E4AEFE1}"/>
    <hyperlink ref="A113" r:id="rId327" display="https://www.dropbox.com/scl/fi/2opeu56tmgtfk1gakf2w4/39722.pdf?rlkey=peq7a8kxiws6jjh5djhgj7o2n&amp;dl=0" xr:uid="{55ACD447-F67F-584F-9354-76B78D05BC19}"/>
    <hyperlink ref="A114" r:id="rId328" display="https://www.dropbox.com/scl/fi/7mtu13exeiudas5hcb17p/39723.pdf?rlkey=4crl1nihrafznw868hjfcaezy&amp;dl=0" xr:uid="{5F44D65F-31F0-3147-A526-264ED13D2660}"/>
    <hyperlink ref="A115" r:id="rId329" display="https://www.dropbox.com/scl/fi/uklk6m1ljq7ym8wkgu9nm/39724.pdf?rlkey=njqt0f9l6g31pol6noi7c3up5&amp;dl=0" xr:uid="{11BC2C94-79E1-1D4B-A4BF-80E28945344F}"/>
    <hyperlink ref="A116" r:id="rId330" display="https://www.dropbox.com/scl/fi/8ma10tsmgm8n0os0lxte8/39728.pdf?rlkey=igdhy4n2bnybywrcnhf7spo6m&amp;dl=0" xr:uid="{7ADBA4FF-2CA0-F74A-95F2-646EEC3C10BC}"/>
    <hyperlink ref="A117" r:id="rId331" display="https://www.dropbox.com/scl/fi/5qjzvbhr0iaj66xhu7ikm/39729.pdf?rlkey=d7qtfy3ztvkt0rtjao9o8knw9&amp;dl=0" xr:uid="{AC66233B-3263-7746-BE77-6F3F4B0CB4A7}"/>
    <hyperlink ref="A118" r:id="rId332" display="https://www.dropbox.com/scl/fi/5y57dvhtn0ubhnpkek5nh/39730.pdf?rlkey=51yqjdhjepivqum74n4wc8nj7&amp;dl=0" xr:uid="{F816A055-06EA-1F4B-91E1-5928EBD33366}"/>
    <hyperlink ref="A119" r:id="rId333" display="https://www.dropbox.com/scl/fi/a9a2d9gp9zca0l61qj17y/39733.pdf?rlkey=izjwkb4hbjuf26jq1ec1me9r6&amp;dl=0" xr:uid="{B40CD484-1670-1C42-8B02-FBA1883E8745}"/>
    <hyperlink ref="A120" r:id="rId334" display="https://www.dropbox.com/scl/fi/8pwly4osdkt5gf1p991kk/39734.pdf?rlkey=tp33rdgpds3w2gks0jfyg4ct4&amp;dl=0" xr:uid="{F4BF8B66-03CB-9C48-B16F-ACC888951967}"/>
    <hyperlink ref="A121" r:id="rId335" display="https://www.dropbox.com/scl/fi/avqds4clu1123bl939z30/39735.pdf?rlkey=k2ac6ag04k8xfahjkd2g9yv5q&amp;dl=0" xr:uid="{0B35EE7C-DD40-C243-B9D5-4F57F1B97EC3}"/>
    <hyperlink ref="A122" r:id="rId336" display="https://www.dropbox.com/scl/fi/ny3rhwisqx13ainirchmi/39736.pdf?rlkey=rfjdo7q0wm1dwoelzwmsxis34&amp;dl=0" xr:uid="{D4C29685-A83C-F04E-BF01-78ACD3C34C68}"/>
    <hyperlink ref="A123" r:id="rId337" display="https://www.dropbox.com/scl/fi/flw8v1mjd9q3743kgd68q/39737.pdf?rlkey=djeixwee2sbb2sidt8hrq73yi&amp;dl=0" xr:uid="{690F1BF6-1C4F-F749-9A20-8B6A67E7E89A}"/>
    <hyperlink ref="A124" r:id="rId338" display="https://www.dropbox.com/scl/fi/t4laf29spe371bkelut06/39738.pdf?rlkey=g4vk7k4zz6en03nhkc1723lni&amp;dl=0" xr:uid="{24D56312-D025-994D-8B87-80C3403532D7}"/>
    <hyperlink ref="A125" r:id="rId339" display="https://www.dropbox.com/scl/fi/uiv2jgk9f6e39ol9q656a/39739.pdf?rlkey=whzvx7gf0tnyw191aovtge07w&amp;dl=0" xr:uid="{B848817B-6033-B44C-AA91-2C0145FC717F}"/>
    <hyperlink ref="A126" r:id="rId340" display="https://www.dropbox.com/scl/fi/fhcwjrykgesx2g3odqens/39740.pdf?rlkey=e5lbjbstvuic1hwlgvb0spxcr&amp;dl=0" xr:uid="{3B22BE7F-E640-9C4C-A291-B37B64981087}"/>
    <hyperlink ref="A127" r:id="rId341" display="https://www.dropbox.com/scl/fi/w8pefnayiwnd492bzct6f/39741.pdf?rlkey=wv4xqwnnbsbp62f7hddan6zm6&amp;dl=0" xr:uid="{FDDA7A6F-EA94-2A44-8F0E-4B3E53D811D5}"/>
    <hyperlink ref="A128" r:id="rId342" display="https://www.dropbox.com/scl/fi/3td9y57yyfy3t0c8hdlr2/39742.pdf?rlkey=ujplkcdcqfo8ahn1jwizpzhtu&amp;dl=0" xr:uid="{0313BB76-6DD1-544E-B599-4DAD6C3827A1}"/>
    <hyperlink ref="A129" r:id="rId343" display="https://www.dropbox.com/scl/fi/7u119odip9nr9efebgbhx/39743.pdf?rlkey=034x22z0s2juueo53nnwxku4t&amp;dl=0" xr:uid="{B5E9BFF4-1B6A-2846-93E1-B46ABCEA104E}"/>
    <hyperlink ref="A130" r:id="rId344" display="https://www.dropbox.com/scl/fi/eppu9yxjjagjr47hds3oq/39747.pdf?rlkey=1eltnnae2vroglvel8482iszd&amp;dl=0" xr:uid="{1A1D3A19-045E-3246-848B-5DDEE1B2D371}"/>
    <hyperlink ref="A131" r:id="rId345" display="https://www.dropbox.com/scl/fi/3qmmsqiamu94rmt0v8r83/39748.pdf?rlkey=k5plke51jf835amic19u5ya51&amp;dl=0" xr:uid="{95C8C007-08F3-6C48-8A4A-3229509F5A86}"/>
    <hyperlink ref="A132" r:id="rId346" display="https://www.dropbox.com/scl/fi/551rsj7jo5oxsxa6bxzp8/39749.pdf?rlkey=yeej6g4unhqy979x3wmc0fbir&amp;dl=0" xr:uid="{D724521B-E953-5F4A-A550-E67849991D1A}"/>
    <hyperlink ref="A133" r:id="rId347" display="https://www.dropbox.com/scl/fi/fvpyed38bfeklc1xlc6tf/39750.pdf?rlkey=2icyuvxt0zdpsylh6icbiqhes&amp;dl=0" xr:uid="{E7030464-6400-8442-A58F-452A3EA5A11E}"/>
    <hyperlink ref="A134" r:id="rId348" display="https://www.dropbox.com/scl/fi/sttj94yxvejxyjwjt3pkv/39756.pdf?rlkey=1rddcwtvtf2tzbr6eoeaaum83&amp;dl=0" xr:uid="{44CB52F6-1D89-0840-B112-2B375A8F5162}"/>
    <hyperlink ref="A135" r:id="rId349" display="https://www.dropbox.com/scl/fi/xpwgpbcvshu7wempnzwby/39757.pdf?rlkey=25rm25gyrt7w87ylvhvx418n4&amp;dl=0" xr:uid="{66AE07B5-1C91-404B-8711-3E0E714B6938}"/>
    <hyperlink ref="A136" r:id="rId350" display="https://www.dropbox.com/scl/fi/l57brdzseyh0z3m7gdk1w/39758.pdf?rlkey=bogchkecn5glg2ldgg0ez3tok&amp;dl=0" xr:uid="{6758CAFA-D9D6-0A4F-9F4A-6AB06F8EF30E}"/>
    <hyperlink ref="A137" r:id="rId351" display="https://www.dropbox.com/scl/fi/74f7ifujqabe3yyrik99s/39759.pdf?rlkey=poouloxva9lp44kl9gv700a1m&amp;dl=0" xr:uid="{A3ED7AF0-991B-8C46-8217-F8F720532E5A}"/>
    <hyperlink ref="A138" r:id="rId352" display="https://www.dropbox.com/scl/fi/49s0x51twv4e25867c50i/39766.pdf?rlkey=y2wv1hsqygxgm9qiitfqc433z&amp;dl=0" xr:uid="{3A35C45F-D71C-FD47-838B-C1A25FD78D6F}"/>
    <hyperlink ref="A139" r:id="rId353" display="https://www.dropbox.com/scl/fi/dq2kd7v5vk1n6zne4ok9d/39767.pdf?rlkey=wu4pi5ifq0ytdpojy9oegf9qt&amp;dl=0" xr:uid="{34CC92F7-43D4-1647-8479-390D3A7E12CC}"/>
    <hyperlink ref="A140" r:id="rId354" display="https://www.dropbox.com/scl/fi/0jr5vv4x73r98mmp9y00f/39768.pdf?rlkey=4ia0cj9nnxjiuxxlw9c39vp8z&amp;dl=0" xr:uid="{61A6C45F-CDFA-D343-B9D3-0DCE923C2583}"/>
    <hyperlink ref="A141" r:id="rId355" display="https://www.dropbox.com/scl/fi/aypexwozqm4f6degf58k5/39770.pdf?rlkey=j7hhdxtkzk0nwgikavn0jti0q&amp;dl=0" xr:uid="{ECAD806A-C8D9-4747-B5B9-B0EDC59ABC2E}"/>
    <hyperlink ref="A142" r:id="rId356" display="https://www.dropbox.com/scl/fi/nesowyz32aza90svit9yo/39771.pdf?rlkey=ws9dv6h77fzpumcq3wc24istl&amp;dl=0" xr:uid="{52BEAF0E-35BB-3C4C-B1F3-12A8FF95FC59}"/>
    <hyperlink ref="A143" r:id="rId357" display="https://www.dropbox.com/scl/fi/zpv9iz76dbqvn2d4bhiuj/39786.pdf?rlkey=8j92u5ja609ssw5kdtmpxrd68&amp;dl=0" xr:uid="{CFBEA0FD-23B8-E94A-8369-42AD405D34A1}"/>
    <hyperlink ref="A144" r:id="rId358" display="https://www.dropbox.com/scl/fi/yq6xtc2rzlmqljelqy6ev/39787.pdf?rlkey=w9wz8s2ocyabitvcpe2so59zz&amp;dl=0" xr:uid="{07452787-1C9E-7E4B-BF9D-256C19C45C40}"/>
    <hyperlink ref="A145" r:id="rId359" display="https://www.dropbox.com/scl/fi/pnt62084c79k9w7j6y9za/39788.pdf?rlkey=q8mnkrjewph3v6mdsp9eiadsc&amp;dl=0" xr:uid="{E1FC9D2A-896F-E94A-BA58-E93842630A76}"/>
    <hyperlink ref="A146" r:id="rId360" display="https://www.dropbox.com/scl/fi/vfxrmznnv07gf7ze136qk/39790.pdf?rlkey=yovx6wp23427peruugqwmjjmf&amp;dl=0" xr:uid="{E6E2E512-3D43-9F4E-9D04-D181CB8B382C}"/>
    <hyperlink ref="A147" r:id="rId361" display="https://www.dropbox.com/scl/fi/a8ffvbuypdjy490kng4oy/39791.pdf?rlkey=0ian21egroies5wyzwjgk5a6y&amp;dl=0" xr:uid="{9A1A3805-FDCB-EE44-BA8C-0315DA695BA5}"/>
    <hyperlink ref="A148" r:id="rId362" display="https://www.dropbox.com/scl/fi/u94dch2akgble1nqwdd72/39792.pdf?rlkey=he0rjaigsuudtl327wjm62gmt&amp;dl=0" xr:uid="{C2421CCA-5A4E-9346-929C-7B72492910B7}"/>
    <hyperlink ref="A149" r:id="rId363" display="https://www.dropbox.com/scl/fi/nejeenul3gnwkjz5dgxrk/39801.pdf?rlkey=snauzpnaked5uj8n87lrs4rp3&amp;dl=0" xr:uid="{589B8581-C3CA-564B-B281-65324DCEC7CE}"/>
    <hyperlink ref="A150" r:id="rId364" display="https://www.dropbox.com/scl/fi/aitjnwjn42zq8oyvfczpz/39802.pdf?rlkey=hhsyhmhj60plubqp4mwih6egh&amp;dl=0" xr:uid="{1A003E50-F18A-E74A-889E-C58E8C9AF4D8}"/>
    <hyperlink ref="A151" r:id="rId365" display="https://www.dropbox.com/scl/fi/i1ocqbkcq3g7j884zruv1/39803.pdf?rlkey=allm20qhps5zsao1kgn5wkbbj&amp;dl=0" xr:uid="{D94CDB8E-623A-754A-A27C-61A3DCAE4D21}"/>
    <hyperlink ref="A152" r:id="rId366" display="https://www.dropbox.com/scl/fi/a3op0mi8dx0jr0f99lytf/39804.pdf?rlkey=cpwhtt57z4lkmdy26egenbdn0&amp;dl=0" xr:uid="{5423BCD4-CCE7-ED40-971E-83BF71D7CF8F}"/>
    <hyperlink ref="A153" r:id="rId367" display="https://www.dropbox.com/scl/fi/msx0iyqbnt4lsnjla1vhc/39805.pdf?rlkey=xsuxjgmswrvq404heh6lh6zr1&amp;dl=0" xr:uid="{978D03D3-0867-A149-B31F-7890E33387C8}"/>
    <hyperlink ref="A154" r:id="rId368" display="https://www.dropbox.com/scl/fi/ili767zgmskx8k0umkl6a/39806.pdf?rlkey=gpb1aeid4c1zbvqdkr4fn5ztj&amp;dl=0" xr:uid="{2FF9327A-105D-EF4D-BD64-7BF3CACCFE43}"/>
    <hyperlink ref="A155" r:id="rId369" display="https://www.dropbox.com/scl/fi/y2lf33nkj0ely7esb934c/39807.pdf?rlkey=favaq7lr2bjjuzdekk2mkyc59&amp;dl=0" xr:uid="{C1F00EA9-F705-F341-B3C0-0D3522FFE57A}"/>
    <hyperlink ref="A156" r:id="rId370" display="https://www.dropbox.com/scl/fi/g1zjx97703eecxmqidokl/39808.pdf?rlkey=vbrst8cosz5ixq0c0sze928h1&amp;dl=0" xr:uid="{0E708354-5538-1044-8A49-5BAEBC5D4184}"/>
    <hyperlink ref="A157" r:id="rId371" display="https://www.dropbox.com/scl/fi/vc2f44wbsbmepucei5fsz/39809.pdf?rlkey=3uq3w5ry6h9bu904l23k24kwp&amp;dl=0" xr:uid="{69F9F59F-AA3D-6748-BCF3-CC33457677FE}"/>
    <hyperlink ref="A158" r:id="rId372" display="https://www.dropbox.com/scl/fi/4sfvs31jbdcqn341pmmv9/39810.pdf?rlkey=sncayf3wzst9sud2qena9lhvz&amp;dl=0" xr:uid="{7A1FBE03-1A6A-FF4D-8B96-1FFA599D1E89}"/>
    <hyperlink ref="A159" r:id="rId373" display="https://www.dropbox.com/scl/fi/vubj8fhtndwznx9rtlkh1/39814.pdf?rlkey=cbkelwaoqgh6rw38j326nxqk7&amp;dl=0" xr:uid="{59BC0D8C-117A-3C4C-89EF-F7B5527D663D}"/>
    <hyperlink ref="A160" r:id="rId374" display="https://www.dropbox.com/scl/fi/eraiob1wp2esf9vja3xjl/39815.pdf?rlkey=a6ufbh1dodre615p84yrh5nfa&amp;dl=0" xr:uid="{6BC270A8-1BEA-D44F-8D9E-4D40B43F9E15}"/>
    <hyperlink ref="A161" r:id="rId375" display="https://www.dropbox.com/scl/fi/89lo9ys9re6tsig0y3sni/39824.pdf?rlkey=ui3xblypoqaoamhxduawt6mk1&amp;dl=0" xr:uid="{26FE0876-93A0-DC41-8A8F-EC189AB5C5DC}"/>
    <hyperlink ref="A162" r:id="rId376" display="https://www.dropbox.com/scl/fi/pfwqzc2yehdl6ilg98q5u/39831.pdf?rlkey=ejnv97wto7krderhfxx287i6r&amp;dl=0" xr:uid="{81D9C669-CEBE-8640-98EE-4BF5B691E334}"/>
    <hyperlink ref="A163" r:id="rId377" display="https://www.dropbox.com/scl/fi/ld72naqlwh9lv6fqjklom/39832.pdf?rlkey=e4yly02p2blfibmywyah76ts3&amp;dl=0" xr:uid="{81A38801-65D1-A143-BA60-38AA6BBCB4E3}"/>
    <hyperlink ref="A164" r:id="rId378" display="https://www.dropbox.com/scl/fi/julcobpgb5d7kkugepjie/39833.pdf?rlkey=2o8vxx61jr0m3kpqi82ojoqwl&amp;dl=0" xr:uid="{7CAEF48F-0B08-C24B-8CC2-1501D56889E3}"/>
    <hyperlink ref="A165" r:id="rId379" display="https://www.dropbox.com/scl/fi/0itto1f6wc91yezre77kc/39837.pdf?rlkey=36ymk77if2mahwibib5hp2twi&amp;dl=0" xr:uid="{C84D9CCF-AA2A-C24A-9876-89D5768AFF7B}"/>
    <hyperlink ref="A166" r:id="rId380" display="https://www.dropbox.com/scl/fi/uo8ubpgd2mlsoh8i26u21/39840.pdf?rlkey=s05ecj8ougz76aye4njehkbzn&amp;dl=0" xr:uid="{BB746791-7C11-7140-ABEC-41665FAC052A}"/>
    <hyperlink ref="A167" r:id="rId381" display="https://www.dropbox.com/scl/fi/7xokfjswgzpmsu2956vh9/39849.pdf?rlkey=mkcrjue0tjunv9nahbsh6onrd&amp;dl=0" xr:uid="{F4250ACB-03A5-A842-9068-2537DD645967}"/>
    <hyperlink ref="A168" r:id="rId382" display="https://www.dropbox.com/scl/fi/2hs7njq40qpl9gdjpetby/39850.pdf?rlkey=m5qclognff9ig71t4jwwgcprs&amp;dl=0" xr:uid="{1FC73879-F455-CA40-9246-633E79C912FB}"/>
    <hyperlink ref="A169" r:id="rId383" display="https://www.dropbox.com/scl/fi/ibbril5xh59exrw2u6t50/39851.pdf?rlkey=h8lompuee7sd2a6p7hu2cdvdy&amp;dl=0" xr:uid="{926FC0D3-367E-FC43-882B-87E9E4AFDD10}"/>
    <hyperlink ref="A170" r:id="rId384" display="https://www.dropbox.com/scl/fi/7kwyv77v7h7pyxdagqata/39852.pdf?rlkey=e9ct3m20vdyvns6qbebxmozyj&amp;dl=0" xr:uid="{ADFD0E7F-BCD4-7740-B0B5-941E5C2B3359}"/>
    <hyperlink ref="A171" r:id="rId385" display="https://www.dropbox.com/scl/fi/cctt1zmfrpwezs1pq8iqv/39853.pdf?rlkey=2tgvjyx4ubnij7bobhb2ls0i0&amp;dl=0" xr:uid="{4028609E-5763-7845-8BDA-65B2849BEB73}"/>
    <hyperlink ref="A172" r:id="rId386" display="https://www.dropbox.com/scl/fi/54imteqm1r6thj6ij2ae9/39856.pdf?rlkey=jx6h3uaw6cop04ni3ku6mypqg&amp;dl=0" xr:uid="{937FF63F-CD34-4444-8F97-B35AAFCE98C9}"/>
    <hyperlink ref="A173" r:id="rId387" display="https://www.dropbox.com/scl/fi/ven704bfm1izgqef11eet/39857.pdf?rlkey=bai9eizc6ij6on27syiozk960&amp;dl=0" xr:uid="{DB5BE9AD-A317-9640-8C85-71004192E6EB}"/>
    <hyperlink ref="A174" r:id="rId388" display="https://www.dropbox.com/scl/fi/r9h95a8ygng20d3x7nxk8/39858.pdf?rlkey=jv4a5jffmziynw497bfsi0526&amp;dl=0" xr:uid="{FD1EB3E1-3517-3742-AFB1-95F4916CE2DA}"/>
    <hyperlink ref="A175" r:id="rId389" display="https://www.dropbox.com/scl/fi/bro0ybt3xkrd9f86xuwww/39860.pdf?rlkey=fx6ycz7ymmkppsuslfvek16ru&amp;dl=0" xr:uid="{0F6229C2-D861-7149-97BE-8CD91A1F3AB7}"/>
    <hyperlink ref="A176" r:id="rId390" display="https://www.dropbox.com/scl/fi/ul8771tg6mx1vvbcwm8qk/39861.pdf?rlkey=630comd6uptutq8wijek8egst&amp;dl=0" xr:uid="{225FF9D6-42D8-DA43-9BF8-785B605300D4}"/>
    <hyperlink ref="A177" r:id="rId391" display="https://www.dropbox.com/scl/fi/k77quw3m2f1ty7ydvfpi9/39862.pdf?rlkey=b1ab5mf63t7h06a4bl9oiig7f&amp;dl=0" xr:uid="{264E293C-0602-064C-956F-6B30E53ECDAD}"/>
    <hyperlink ref="A178" r:id="rId392" display="https://www.dropbox.com/scl/fi/1naju8x8lp3fk3pt8x812/39863.pdf?rlkey=15twryzjwgfr46ydyjm1n2nj8&amp;dl=0" xr:uid="{0C265770-2D52-A041-AAC8-13D92E14FCF1}"/>
    <hyperlink ref="A179" r:id="rId393" display="https://www.dropbox.com/scl/fi/za742cuivspm2gewhh6yu/39864.pdf?rlkey=079w2b6sapii7jgthey3dnmqh&amp;dl=0" xr:uid="{5323340B-BE0C-E54C-8EEB-F2D969879438}"/>
    <hyperlink ref="A180" r:id="rId394" display="https://www.dropbox.com/scl/fi/tmje8gh03lxtdci1cr64r/39867.pdf?rlkey=eus73bhw8ytao6y1riiem07fw&amp;dl=0" xr:uid="{1243A2C0-C5D3-7D4E-9340-0606B332FDB4}"/>
    <hyperlink ref="A181" r:id="rId395" display="https://www.dropbox.com/scl/fi/hv7zeyxrit83vj8eu10xo/39871.pdf?rlkey=ixyj8adp982k1dl2y7n4bi9oj&amp;dl=0" xr:uid="{374D0972-B337-7E41-8554-FE6F9EF7A815}"/>
    <hyperlink ref="A182" r:id="rId396" display="https://www.dropbox.com/scl/fi/j0bm3hmcscz37keyy86nx/39876.pdf?rlkey=mjwurh3gticr4x9ojj18qa53k&amp;dl=0" xr:uid="{9AD92676-14B6-F640-B389-67E709FE4BC5}"/>
    <hyperlink ref="A183" r:id="rId397" display="https://www.dropbox.com/scl/fi/12enzsb6moaemertd0dr2/39878.pdf?rlkey=napjb77yiutui79f910lfmd1q&amp;dl=0" xr:uid="{191D7E46-8F0D-7A4D-ADB5-BBF121257811}"/>
    <hyperlink ref="A184" r:id="rId398" display="https://www.dropbox.com/scl/fi/ij0xlgjkhwhnrej32byys/39880.pdf?rlkey=l2we31kurcjw7ynzu71iammp9&amp;dl=0" xr:uid="{97690AE0-70B9-6447-8C32-669C98AA4B92}"/>
    <hyperlink ref="A185" r:id="rId399" display="https://www.dropbox.com/scl/fi/x0evv6h0wm3pgyj8ss3r0/39887.pdf?rlkey=o809tu9uni4l495p22c9gu3s0&amp;dl=0" xr:uid="{C44F0B14-6E0F-1B40-A91D-A7A2CF6E8800}"/>
    <hyperlink ref="A186" r:id="rId400" display="https://www.dropbox.com/scl/fi/2u1ggmn9j5mjx45nal22t/39888.pdf?rlkey=2mqqrpkl7gxyntw6jixeovzp2&amp;dl=0" xr:uid="{D5EEAF40-7F1D-C347-A674-04A7D8085930}"/>
    <hyperlink ref="A187" r:id="rId401" display="https://www.dropbox.com/scl/fi/10ecvh7d0u64aof2q1lih/39890.pdf?rlkey=o0muksopk06dqj7ja4787tlgs&amp;dl=0" xr:uid="{7B340121-15BB-A443-9E98-84960858D5DF}"/>
    <hyperlink ref="A188" r:id="rId402" display="https://www.dropbox.com/scl/fi/2fes541tovrlwa1an69tk/39892.pdf?rlkey=apeajapspax88nd16u00kdg2k&amp;dl=0" xr:uid="{92F3204C-38FC-D94C-8FE6-AB2560EB71CD}"/>
    <hyperlink ref="A189" r:id="rId403" display="https://www.dropbox.com/scl/fi/vo7xyipoz6c2nctuue3j3/39893.pdf?rlkey=7x2qe79ev369o52jblwui3x2a&amp;dl=0" xr:uid="{F324627C-9EAA-104C-8327-49C9FA70A658}"/>
    <hyperlink ref="A190" r:id="rId404" display="https://www.dropbox.com/scl/fi/hzcf72326ht7k6vds8g2x/39894.pdf?rlkey=t3m6osy9pd5c8tyga4wcr7oww&amp;dl=0" xr:uid="{FBE5A4D8-5ACC-6843-9E45-EBFE38700B30}"/>
    <hyperlink ref="A191" r:id="rId405" display="https://www.dropbox.com/scl/fi/uecmbkl79ezhs1e4una98/39895.pdf?rlkey=zhfu26cch2t343rranlowprtj&amp;dl=0" xr:uid="{E00B8795-BA25-B641-9A26-0837D6C82B1E}"/>
    <hyperlink ref="A192" r:id="rId406" display="https://www.dropbox.com/scl/fi/tffeiurvz04p661awg4ut/39897.pdf?rlkey=up3ufoaghftjl159k4f4ugodu&amp;dl=0" xr:uid="{5354E7BF-A5A9-B245-A52F-5BCB3506008B}"/>
    <hyperlink ref="A193" r:id="rId407" display="https://www.dropbox.com/scl/fi/27yqh0xogq1s7ai37vgn1/39904.pdf?rlkey=sdsj32f4n3mp85oz5dtkeig9z&amp;dl=0" xr:uid="{9CBD6709-0D4D-0144-A44F-8A358495DD78}"/>
    <hyperlink ref="A194" r:id="rId408" display="https://www.dropbox.com/scl/fi/60v0o6bg3309rosst78k6/39907.pdf?rlkey=y1j6di1k7p5k9pqbn8s2qbu54&amp;dl=0" xr:uid="{C23F8C6C-6066-6C40-97C1-082C408D3F95}"/>
    <hyperlink ref="A195" r:id="rId409" display="https://www.dropbox.com/scl/fi/xwqqyjw0mxi067jr5nfnr/39908.pdf?rlkey=dfpb41qylru5qs1lb3fgfqujb&amp;dl=0" xr:uid="{3AAFF94F-C7D7-5F48-8338-F3B1E82DE184}"/>
    <hyperlink ref="A196" r:id="rId410" display="https://www.dropbox.com/scl/fi/o867bhtg5liw8b4tt4n2k/39916.pdf?rlkey=5kbw75xezv8z7yhixp93aoexf&amp;dl=0" xr:uid="{F3F4A8DA-B57B-484F-93BA-A2AA46784F0A}"/>
    <hyperlink ref="A197" r:id="rId411" display="https://www.dropbox.com/scl/fi/l5uosqh5g9sr45ox5iv6s/39921.pdf?rlkey=saf0bzp3xo7wiop347rcd1xwi&amp;dl=0" xr:uid="{AB1F93D6-6743-CB4D-8125-078C1B08FD7F}"/>
    <hyperlink ref="A198" r:id="rId412" display="https://www.dropbox.com/scl/fi/jyd8yjhv8xhdwoycuzeja/39922.pdf?rlkey=3ybmxymwp1hhpb4lhhrcho7k5&amp;dl=0" xr:uid="{1DF575F7-D1F6-1B48-8E23-2F198C42A070}"/>
    <hyperlink ref="A199" r:id="rId413" display="https://www.dropbox.com/scl/fi/9kkwkp9om171yp1qrth52/39924.pdf?rlkey=kftzsh6k16aeq6wl20p95e3wa&amp;dl=0" xr:uid="{0A3BFE62-E01A-9046-8F08-05C424836D87}"/>
    <hyperlink ref="A200" r:id="rId414" display="https://www.dropbox.com/scl/fi/jlssvm94wjzhotw6nw5xl/39925.pdf?rlkey=bwu3y5vr2o7i7el2ik9wlr2v0&amp;dl=0" xr:uid="{8C577866-D31D-6C4E-9E4F-15DF849BA8C4}"/>
    <hyperlink ref="A201" r:id="rId415" display="https://www.dropbox.com/scl/fi/h59fbuadarj4ppgavlte0/39926.pdf?rlkey=umo57fwzj3flci4w6osx41zpd&amp;dl=0" xr:uid="{0E669C3E-709E-C54C-9E7B-E7BF8B2198EE}"/>
    <hyperlink ref="A202" r:id="rId416" display="https://www.dropbox.com/scl/fi/sr6n7krnro8fu4wjk33k8/39927.pdf?rlkey=oszpeeu9cbbm4q1fv23v83f3s&amp;dl=0" xr:uid="{14E3C423-60CB-A548-AA45-37F633660A5D}"/>
    <hyperlink ref="A203" r:id="rId417" display="https://www.dropbox.com/scl/fi/g7fceer4x40gilf4pyipl/39928.pdf?rlkey=fdpdk4xotrbmlm5a3y4wuo166&amp;dl=0" xr:uid="{05E0FB8D-6644-4E48-B79C-02B0ED5D2389}"/>
    <hyperlink ref="A204" r:id="rId418" display="https://www.dropbox.com/scl/fi/am3kfpe7ycysbei2a10ww/39929.pdf?rlkey=dwdaflm9tv3wttaox368zr9xt&amp;dl=0" xr:uid="{D39FCCD9-B4B6-024A-8D25-F3CCE71A4DD0}"/>
    <hyperlink ref="A205" r:id="rId419" display="https://www.dropbox.com/scl/fi/1az6ncgrnpril5f1t4oj4/39930.pdf?rlkey=nilltuqlb74hc0jvgrek95jsq&amp;dl=0" xr:uid="{C573A926-2576-0747-8AA0-0F392EEAC6DB}"/>
    <hyperlink ref="A206" r:id="rId420" display="https://www.dropbox.com/scl/fi/hgboummqxlez9x1c0n2xz/39931.pdf?rlkey=ti28b5z3t8361l8vy9ualxuqa&amp;dl=0" xr:uid="{9FAA0924-20E1-1D44-B221-8FF15721633C}"/>
    <hyperlink ref="A207" r:id="rId421" display="https://www.dropbox.com/scl/fi/u2191q36rzu7zudmsnrb6/39945.pdf?rlkey=dbnubmfcwr4eiw7aonmflagp7&amp;dl=0" xr:uid="{C2630C0F-71C4-034B-8340-7B0E9DB0549A}"/>
    <hyperlink ref="A208" r:id="rId422" display="https://www.dropbox.com/scl/fi/ucvn4mrhobehj7x2u0iqv/39946.pdf?rlkey=2rts6rwwvxv5bpx8ywhko3dc8&amp;dl=0" xr:uid="{337445A7-714B-1242-AB60-A17C070761A3}"/>
    <hyperlink ref="A209" r:id="rId423" display="https://www.dropbox.com/scl/fi/gvisppwlsr9vm40bp27tl/39947.pdf?rlkey=nw7xicp4xxt1a6ix2avjh14b7&amp;dl=0" xr:uid="{6727B78C-1121-254E-B156-3DFAE2769F74}"/>
    <hyperlink ref="A210" r:id="rId424" display="https://www.dropbox.com/scl/fi/j1z92noxknx4718qrf6b2/39948.pdf?rlkey=tmuwf02s2kasy5ihud5idhx5t&amp;dl=0" xr:uid="{C07D1ACE-A25E-CD49-8BB2-24AB0D291AAE}"/>
    <hyperlink ref="A211" r:id="rId425" display="https://www.dropbox.com/scl/fi/7dvinrcetgaqzt5clny01/39949.pdf?rlkey=bxs14okgfvyzfj8f8uh3nb6yy&amp;dl=0" xr:uid="{B9B5EE8D-72E8-BA46-97E3-7F19394781C8}"/>
    <hyperlink ref="A212" r:id="rId426" display="https://www.dropbox.com/scl/fi/92w12ngau5tb4nr7jbdj2/39950.pdf?rlkey=2u6zfm1nauksbn3e5qvsi3yf4&amp;dl=0" xr:uid="{F2488997-0F69-284C-B31E-9B810E76BDBC}"/>
    <hyperlink ref="A213" r:id="rId427" display="https://www.dropbox.com/scl/fi/eqlfdmc8j7hjo1hawl6so/39952.pdf?rlkey=p1kx63hrp7ncsf5srtqrk6i1t&amp;dl=0" xr:uid="{82DC11E1-D69A-CC49-97B5-2A1D75CB8C8D}"/>
    <hyperlink ref="A214" r:id="rId428" display="https://www.dropbox.com/scl/fi/004tknsgjzua06fmppvk7/39955.pdf?rlkey=lm5negjqk4n99cwtuexu4407z&amp;dl=0" xr:uid="{7C2D93E7-99D3-1D47-A606-23E98873C98B}"/>
    <hyperlink ref="A215" r:id="rId429" display="https://www.dropbox.com/scl/fi/dla6joqbqql703n4a1egm/39956.pdf?rlkey=7eoxh2tww15b1amn8ww88v551&amp;dl=0" xr:uid="{93A176DE-FE14-9B43-ADC8-B8096BE9A757}"/>
    <hyperlink ref="A216" r:id="rId430" display="https://www.dropbox.com/scl/fi/wj0wqouk5j74kdhryx5sg/39957.pdf?rlkey=6i9n6kyodjpw0lm5wubyq3ei4&amp;dl=0" xr:uid="{94E502D9-ED1E-DF4B-B78D-ED5C82D24D04}"/>
    <hyperlink ref="A217" r:id="rId431" display="https://www.dropbox.com/scl/fi/lkv6se98c1zmpeyfkpl7m/39958.pdf?rlkey=mgsvx2c1wmko0ijyetvnwcs63&amp;dl=0" xr:uid="{170532DF-273C-194C-8EF6-7FA01336D312}"/>
    <hyperlink ref="A218" r:id="rId432" display="https://www.dropbox.com/scl/fi/q5zkwl7xuv2z4ru1wrkdk/39959.pdf?rlkey=moffldf84z2c5y355c1rqujhs&amp;dl=0" xr:uid="{DB4289DA-5075-6944-8ED7-2A5CF08133D3}"/>
    <hyperlink ref="A219" r:id="rId433" display="https://www.dropbox.com/scl/fi/lcjcavepdf303ud7sebe2/39960.pdf?rlkey=j44d21nulh4rtr0ijbm4apjnc&amp;dl=0" xr:uid="{0D504B14-900A-5D45-AFDA-9ED871D927BA}"/>
    <hyperlink ref="A220" r:id="rId434" display="https://www.dropbox.com/scl/fi/f593kag1efspdzns15xgc/39964.pdf?rlkey=90mslgd1k7obza42wrg7w6cxs&amp;dl=0" xr:uid="{71FA0705-227D-8E47-A2B4-2552B088771E}"/>
    <hyperlink ref="A221" r:id="rId435" display="https://www.dropbox.com/scl/fi/cijnpco3aem2p5piiifj4/39965.pdf?rlkey=zuukul8sj68i8m9n6mzyfdnnh&amp;dl=0" xr:uid="{CEA4D8D9-B189-0245-B338-29BAC8AE73B8}"/>
    <hyperlink ref="A222" r:id="rId436" display="https://www.dropbox.com/scl/fi/x3jjklag6jhlboqcr625e/39967.pdf?rlkey=ym7bueo4ppok05iwr464lk358&amp;dl=0" xr:uid="{E45E277A-36F2-1845-9516-A28ECE9D7D3C}"/>
    <hyperlink ref="A223" r:id="rId437" display="https://www.dropbox.com/scl/fi/c47n0zndhnujnk2txj4ik/39977.pdf?rlkey=zqw51n3wwslngdo1c2eb7fhsc&amp;dl=0" xr:uid="{CB926264-82D8-9547-8830-CDAEF592C6A2}"/>
    <hyperlink ref="A224" r:id="rId438" display="https://www.dropbox.com/scl/fi/61ag60mmfoefrjdmuluob/39978.pdf?rlkey=sma49yujeblafujx04flr1yxq&amp;dl=0" xr:uid="{47FC05F5-D6EA-984A-9263-D5387FBCBDF2}"/>
    <hyperlink ref="A225" r:id="rId439" display="https://www.dropbox.com/scl/fi/5cm2d1kx0jpucv4fy63bq/39985.pdf?rlkey=hs1ejt7822y0z44jlnb2bvc25&amp;dl=0" xr:uid="{387E0609-174F-7C43-A0A7-E0C2C73F4E37}"/>
    <hyperlink ref="A226" r:id="rId440" display="https://www.dropbox.com/scl/fi/d078yu7fu37ketru0d7ac/39988.pdf?rlkey=7nbl5zqco9wex429j9868ndpd&amp;dl=0" xr:uid="{08ABC80F-90A6-DC41-B192-A07F854E3569}"/>
    <hyperlink ref="A227" r:id="rId441" display="https://www.dropbox.com/scl/fi/1vxk4ia81o09bafcjf680/39990.pdf?rlkey=m6nb5njpm9hnmrsqgmdaud1le&amp;dl=0" xr:uid="{7F7501E3-6382-4E4A-A5A9-4490FC7D404A}"/>
    <hyperlink ref="A228" r:id="rId442" display="https://www.dropbox.com/scl/fi/ikhrmrqj5qm0roopxq6rw/39991.pdf?rlkey=ad3gqlcvhl8cuhj2v7uj00zyq&amp;dl=0" xr:uid="{8907A4BD-4F4E-3A4A-8530-355E4944B02A}"/>
    <hyperlink ref="A229" r:id="rId443" display="https://www.dropbox.com/scl/fi/i7n7837nzurdhf55wc5mz/39992.pdf?rlkey=fynez6k0o6mnweq4kr6toe1x7&amp;dl=0" xr:uid="{50C84A60-3F2C-8A49-8111-09416B9CA359}"/>
    <hyperlink ref="A230" r:id="rId444" display="https://www.dropbox.com/scl/fi/l6eqeycmsds9e3sar5aib/39993.pdf?rlkey=km932kb208huib39pcwsle4ip&amp;dl=0" xr:uid="{BB7B5AF9-FB41-E846-9F2D-F1644DB1A918}"/>
    <hyperlink ref="A231" r:id="rId445" display="https://www.dropbox.com/scl/fi/u0axrsek3927ebu2sh1fq/39994.pdf?rlkey=tavn0kps7x97vqcp8unz1854o&amp;dl=0" xr:uid="{9ED765BB-1685-684D-B685-B2D137EDA8F6}"/>
    <hyperlink ref="A232" r:id="rId446" display="https://www.dropbox.com/scl/fi/9w37o7f5ylfy6yxtkbg79/39995.pdf?rlkey=xfyzx819jfeqxwktowndmy8rx&amp;dl=0" xr:uid="{65503BB2-98E1-964B-989C-5BC1273C2C76}"/>
    <hyperlink ref="A233" r:id="rId447" display="https://www.dropbox.com/scl/fi/5zvs7i6q6fcirxrdec70s/39996.pdf?rlkey=ev3x3c7nuyla86a92r5m3y21l&amp;dl=0" xr:uid="{85790A96-6276-7A4F-9AEE-416AEC7FAFA7}"/>
    <hyperlink ref="A234" r:id="rId448" display="https://www.dropbox.com/scl/fi/6ceu5rx68p8y2kkbipcam/39997.pdf?rlkey=a8tliv0ndc86g4v6nyejr5s6q&amp;dl=0" xr:uid="{6D15AF6C-5DBC-9944-803D-D6CFD1401418}"/>
    <hyperlink ref="A235" r:id="rId449" display="https://www.dropbox.com/scl/fi/zqxys938twucfx0icwgjv/40001.pdf?rlkey=g3vu8jalinxamdm2sm70mx242&amp;dl=0" xr:uid="{F966727A-0DD9-B743-8A52-7A486C9B2070}"/>
    <hyperlink ref="A236" r:id="rId450" display="https://www.dropbox.com/scl/fi/dgb9evdo5ke9msjg20n5e/40002.pdf?rlkey=i41qsusy5xt3vszsl9t8tpfud&amp;dl=0" xr:uid="{5DCD01E1-A8F2-2942-8718-EA59EAF8F0B8}"/>
    <hyperlink ref="A237" r:id="rId451" display="https://www.dropbox.com/scl/fi/js0454jppjmfscf4lonni/40004.pdf?rlkey=udrdufl0udw1z2ldw9l0v9gik&amp;dl=0" xr:uid="{1E410EBA-FC61-D24C-8930-96352E9D4A97}"/>
    <hyperlink ref="A238" r:id="rId452" display="https://www.dropbox.com/scl/fi/owi8zyhd26h7o3unoxuam/40006.pdf?rlkey=v9edr4f8ce5webr4x2yzawrp7&amp;dl=0" xr:uid="{D30DE1C8-A1B4-3A4C-B5D0-0E4F609D55C1}"/>
    <hyperlink ref="A239" r:id="rId453" display="https://www.dropbox.com/scl/fi/htnssa94bhr25f2vi4gw1/40008.pdf?rlkey=eoepmks2vwvdafolq43jhlk7v&amp;dl=0" xr:uid="{7674DCF9-5122-F045-9E60-626CD6BEFCFA}"/>
    <hyperlink ref="A240" r:id="rId454" display="https://www.dropbox.com/scl/fi/ix4nx2dmngrj9nv8p4wzc/40009.pdf?rlkey=hrm7jimurg1anr59hgbh8eq6h&amp;dl=0" xr:uid="{DC49F166-8B8B-F74C-83AB-4272EB0A4D66}"/>
    <hyperlink ref="A241" r:id="rId455" display="https://www.dropbox.com/scl/fi/9zktfvz04d67ce11kb2pl/40010.pdf?rlkey=9vpl01gb0wqsroz1gya9v70a7&amp;dl=0" xr:uid="{840DB25F-6D37-FA4E-ADB6-222D07CC5E96}"/>
    <hyperlink ref="A242" r:id="rId456" display="https://www.dropbox.com/scl/fi/ekk45hngfzjv856oqhgz0/40013.pdf?rlkey=s1nhbyoye9grhyw0dueyyosq1&amp;dl=0" xr:uid="{6F3B9F7C-07A8-194E-992D-891EE2908EA1}"/>
    <hyperlink ref="A243" r:id="rId457" display="https://www.dropbox.com/scl/fi/od6d5nhaiyfusgklty5uf/40022.pdf?rlkey=gq4p2pa4id1oensrqyw3mjoas&amp;dl=0" xr:uid="{43B6A849-2484-2843-AED0-05F135513A40}"/>
    <hyperlink ref="A244" r:id="rId458" display="https://www.dropbox.com/scl/fi/lxka5abitdg8kdmroqqy8/40023.pdf?rlkey=nc2e5dxl43i125zy7ctv7ayro&amp;dl=0" xr:uid="{52135F6D-29C4-964C-ABC1-D9C0604BA284}"/>
    <hyperlink ref="A245" r:id="rId459" display="https://www.dropbox.com/scl/fi/m0a8hnnyxu4yqjr9hqoid/40026.pdf?rlkey=r8w830pxi06rptcfqil5lscte&amp;dl=0" xr:uid="{148D0045-57F5-804C-8547-A3E395E6FC87}"/>
    <hyperlink ref="A246" r:id="rId460" display="https://www.dropbox.com/scl/fi/9sseiktwpvr4venwrilf1/40027.pdf?rlkey=ucmdt9vg15f2z99tu4jevrne9&amp;dl=0" xr:uid="{3AD8DECB-4EB9-A148-965A-070226CD061D}"/>
    <hyperlink ref="A247" r:id="rId461" display="https://www.dropbox.com/scl/fi/1fj41olocj7l6z5gyc19u/40032.pdf?rlkey=v6pr4qfmgdgtdlpqqfkbs91ai&amp;dl=0" xr:uid="{D01D4C29-1BFE-DE48-9418-5CC0B266FE59}"/>
    <hyperlink ref="A248" r:id="rId462" display="https://www.dropbox.com/scl/fi/7nmu7gav65ujeux8z838w/40034.pdf?rlkey=nu87c2a7z5404d5xptqh83dmj&amp;dl=0" xr:uid="{3DAF3B93-78C1-5341-9B3A-6986D017C2A7}"/>
    <hyperlink ref="A249" r:id="rId463" display="https://www.dropbox.com/scl/fi/ur56w4x3rws51l1l88o08/40035.pdf?rlkey=v5k17grt5b1o67dy6c28ywiu3&amp;dl=0" xr:uid="{19718691-1BA5-9B4B-B83C-187BF52D4ABB}"/>
    <hyperlink ref="A250" r:id="rId464" display="https://www.dropbox.com/scl/fi/op9eyrzknby8fnpjjtkmh/40037.pdf?rlkey=l74o4o73pkuwsu85hwhuzpqjt&amp;dl=0" xr:uid="{851C8BE3-5ECF-9847-8D72-5C2E9D6D3B9F}"/>
    <hyperlink ref="A251" r:id="rId465" display="https://www.dropbox.com/scl/fi/4iz5n1e8wnczh6eg20k3q/40038.pdf?rlkey=9qvjrhwbel53dhubn12nqlpeb&amp;dl=0" xr:uid="{53A78F81-08B7-9E45-85B5-94E06DF19043}"/>
    <hyperlink ref="A252" r:id="rId466" display="https://www.dropbox.com/scl/fi/rpdsh7cthnkh194tgbm7p/40041.pdf?rlkey=rfd5aud3q1g3ktri027iqlzg3&amp;dl=0" xr:uid="{55987065-E01D-6F4D-B2F0-32BE34DC3A93}"/>
    <hyperlink ref="A253" r:id="rId467" display="https://www.dropbox.com/scl/fi/n0atar5lm944po8oa9t9d/40042.pdf?rlkey=6oct87pnbnvtc2m8s675wrb1e&amp;dl=0" xr:uid="{196F0B3B-D93E-0A4A-8166-A524D78642E5}"/>
    <hyperlink ref="A254" r:id="rId468" display="https://www.dropbox.com/scl/fi/a52m0o5mvoj1wqb4q7er7/40043.pdf?rlkey=rkyqndl1m6gx9xa0wmz727cbc&amp;dl=0" xr:uid="{638654CC-5F25-E340-BBF7-BFA048DAC47F}"/>
    <hyperlink ref="A255" r:id="rId469" display="https://www.dropbox.com/scl/fi/9kjr2wm6ox0af91ts5kiy/40044.pdf?rlkey=k707nkzg7t4y8jfjybw2j3lt3&amp;dl=0" xr:uid="{49587F4F-38DE-7C4F-9712-769A89E741F3}"/>
    <hyperlink ref="A256" r:id="rId470" display="https://www.dropbox.com/scl/fi/npx3t4qvsj76g0jg80znc/40047.pdf?rlkey=u50cylvxu48b22mhrzr7g2453&amp;dl=0" xr:uid="{32D9ACBA-03AA-4649-AB45-B0741CB67D5A}"/>
    <hyperlink ref="A257" r:id="rId471" display="https://www.dropbox.com/scl/fi/ne1zf3b6pih2ltibx8yvj/40048.pdf?rlkey=b9a8za3fblci3le1mfalprmix&amp;dl=0" xr:uid="{239BAE02-F76E-DC4D-A59C-1F11EB988101}"/>
    <hyperlink ref="A258" r:id="rId472" display="https://www.dropbox.com/scl/fi/m1wpeegw474j6zqs1m9fq/40049.pdf?rlkey=78k03va02nf8tjazlfmtvg8bo&amp;dl=0" xr:uid="{D2BE1996-FD59-744D-A7AF-4A049E053099}"/>
    <hyperlink ref="A259" r:id="rId473" display="https://www.dropbox.com/scl/fi/9qmxh4c9zm45tispxc2jx/40050.pdf?rlkey=t5j3owekmladgerwbybw3b1v0&amp;dl=0" xr:uid="{C810727C-68C1-DE4D-B7C2-1A6771DC6A4A}"/>
    <hyperlink ref="A260" r:id="rId474" display="https://www.dropbox.com/scl/fi/ubadb313elfpo6ka81oij/40051.pdf?rlkey=nrcmgpg5d4onbct7p6xaut58j&amp;dl=0" xr:uid="{9D886281-19F3-7240-8DF3-3AE03596E52C}"/>
    <hyperlink ref="A261" r:id="rId475" display="https://www.dropbox.com/scl/fi/tqpzp1otqoxp4vbeukz9s/40052.pdf?rlkey=nm17qf0h3nm76yikug82fm5em&amp;dl=0" xr:uid="{8E283440-55B5-B94F-A37B-95871F927892}"/>
    <hyperlink ref="A262" r:id="rId476" display="https://www.dropbox.com/scl/fi/fdmtlnlygw8odvjzmv1ku/40055.pdf?rlkey=vx3y2r3szh4do218067rrc53x&amp;dl=0" xr:uid="{30FAAF39-DBC4-954D-89E6-C52496AC64D4}"/>
    <hyperlink ref="A263" r:id="rId477" display="https://www.dropbox.com/scl/fi/o28abzz3e9sn4runjvdh9/40056.pdf?rlkey=xfd6pnoe598pjusb0x8xh4cjc&amp;dl=0" xr:uid="{A48149EC-A3A1-4945-8271-24EAA6C0E1F6}"/>
    <hyperlink ref="A264" r:id="rId478" display="https://www.dropbox.com/scl/fi/9xm7aqt6ytw4fetfl7u7s/40057.pdf?rlkey=usdq2k7apyk109st5wdnc6l7t&amp;dl=0" xr:uid="{9E1F11A4-ADE3-E646-AF14-5F4EC9153251}"/>
    <hyperlink ref="A265" r:id="rId479" display="https://www.dropbox.com/scl/fi/ndjtjc4dwg9ayg6gfy65f/40058.pdf?rlkey=xyq1hdu4vkw8jtb15q9euw7o6&amp;dl=0" xr:uid="{0271B279-44BA-B840-AC2E-B3015927DC41}"/>
    <hyperlink ref="A266" r:id="rId480" display="https://www.dropbox.com/scl/fi/hy8nwfrg2j9y5dvk559pa/40059.pdf?rlkey=qb76qv2g0wfhmtwiwaf0lvp5w&amp;dl=0" xr:uid="{6B6F7C6D-D291-0645-B979-C448D04B9B02}"/>
    <hyperlink ref="A267" r:id="rId481" display="https://www.dropbox.com/scl/fi/o04c7srsuw2w4dbilut0n/40060.pdf?rlkey=tpnrznn07swr585gu85tlc504&amp;dl=0" xr:uid="{71D6F451-3BB8-5A41-A925-67B68C84151C}"/>
    <hyperlink ref="A268" r:id="rId482" display="https://www.dropbox.com/scl/fi/0oz280mdz461qucg2ibye/40061.pdf?rlkey=1nz46x7sngomsdv6c2z5dn9r1&amp;dl=0" xr:uid="{CAF43E7B-E26B-044D-B68C-7D99051C2502}"/>
    <hyperlink ref="A269" r:id="rId483" display="https://www.dropbox.com/scl/fi/q07u6un1dfj4hii7me9qs/40062.pdf?rlkey=yif0u0deugeo2mf7ow80kjtji&amp;dl=0" xr:uid="{47EDABF9-2525-1946-B206-D782543F298E}"/>
    <hyperlink ref="A270" r:id="rId484" display="https://www.dropbox.com/scl/fi/aa0bcu4hu4bthj0txwyiu/40064.pdf?rlkey=8wxtrwjdgdnn6hfg8nh6zxuy5&amp;dl=0" xr:uid="{E23F7E14-8E2D-2C4A-BB7C-B6313E66394C}"/>
    <hyperlink ref="A271" r:id="rId485" display="https://www.dropbox.com/scl/fi/7cst4c0ee5p3h0f64wmex/40065.pdf?rlkey=h3l0t9fclyvqqr71vlymixymt&amp;dl=0" xr:uid="{D3F7ED56-41F3-6745-B6AE-2108559CF432}"/>
    <hyperlink ref="A272" r:id="rId486" display="https://www.dropbox.com/scl/fi/kl3mnchm0ggvznjehyb8i/40066.pdf?rlkey=hvor837vfzgzjgnpdy7a7ld6l&amp;dl=0" xr:uid="{3DE82FCA-836D-074E-98FF-0EC7053DC52C}"/>
    <hyperlink ref="A273" r:id="rId487" display="https://www.dropbox.com/scl/fi/qb84skxz6x34ctn80gf7r/40067.pdf?rlkey=nvpolg9s5a414qqa81veqzy3h&amp;dl=0" xr:uid="{52E82890-5836-CE4E-9303-06EDCF076BA9}"/>
    <hyperlink ref="A274" r:id="rId488" display="https://www.dropbox.com/scl/fi/olslg7i46bz6yms0ljb21/40072.pdf?rlkey=p89j7ncrqo0n1glfhn5cqeiaa&amp;dl=0" xr:uid="{0CFE65A3-AAD8-D748-8DC4-0EF4A99F22A1}"/>
    <hyperlink ref="A275" r:id="rId489" display="https://www.dropbox.com/scl/fi/3qsf3vt1dv0p7z7m9xquc/40075.pdf?rlkey=96nx9oqc4r76v2emxbbyhtnu6&amp;dl=0" xr:uid="{3545A0AE-4D06-774E-81FE-AADFC681EBEB}"/>
    <hyperlink ref="A276" r:id="rId490" display="https://www.dropbox.com/scl/fi/cbmq17ru1avtts68tsgrm/40076.pdf?rlkey=8octkk158xjefj6rm8k16dfx8&amp;dl=0" xr:uid="{FF2FCB97-F62C-1A45-BB2B-8AA4EC2B6115}"/>
    <hyperlink ref="A277" r:id="rId491" display="https://www.dropbox.com/scl/fi/c5gabhl4moug7frhdud3e/40079.pdf?rlkey=umjpbaahmufbwr1j1b1aqr7op&amp;dl=0" xr:uid="{F46FD0E6-018D-4240-807D-7F8284160D1F}"/>
    <hyperlink ref="A278" r:id="rId492" display="https://www.dropbox.com/scl/fi/qosdijg1ewqz57ipeq7t4/40082.pdf?rlkey=8l7pj7q6ch8taruoil6xhd0ju&amp;dl=0" xr:uid="{08BB5CA3-118C-7645-A8E6-A44AE3BFDA39}"/>
    <hyperlink ref="A279" r:id="rId493" display="https://www.dropbox.com/scl/fi/ervud1zxx7k5gogn6838x/40091.pdf?rlkey=yqavv6l22nmvinvuwora7mrax&amp;dl=0" xr:uid="{ED3ED2D3-CE4F-7843-952B-9A9EE51EADA7}"/>
    <hyperlink ref="A280" r:id="rId494" display="https://www.dropbox.com/scl/fi/uloyr9s3t8puc8ai68ito/40095.pdf?rlkey=hg4sr93xfbpgnrs57x97f3gm7&amp;dl=0" xr:uid="{E1C1A586-06C5-B24A-A591-7370BE9EB514}"/>
    <hyperlink ref="A281" r:id="rId495" display="https://www.dropbox.com/scl/fi/50oj0q4qr0oa3utfnbxru/40101.pdf?rlkey=psbmefix1g8cym85dusyl8k96&amp;dl=0" xr:uid="{6736BF17-A960-4840-86ED-E0549984CD87}"/>
    <hyperlink ref="A282" r:id="rId496" display="https://www.dropbox.com/scl/fi/t51iqqv4zpgxvj8nihomj/40103.pdf?rlkey=8qh7rosopff4i9w5rdqgx4vre&amp;dl=0" xr:uid="{B60840D0-61F2-784B-9A29-AF6B6AA8CF60}"/>
    <hyperlink ref="A283" r:id="rId497" display="https://www.dropbox.com/scl/fi/1ht7b7asz5gy4yedceos1/40110.pdf?rlkey=jyengnz7xml0e9k8gsf03h25s&amp;dl=0" xr:uid="{C96F7B2B-4AF3-E443-85E9-BC664C3454EF}"/>
    <hyperlink ref="A284" r:id="rId498" display="https://www.dropbox.com/scl/fi/wii3wsehzrcumvrywoz7l/40111.pdf?rlkey=x0dc3to2xqkrsh6sdnokqsx9m&amp;dl=0" xr:uid="{1BB20B9D-E942-7E44-9DBD-27E7A89B6F8F}"/>
    <hyperlink ref="A285" r:id="rId499" display="https://www.dropbox.com/scl/fi/y5m9f90xs9vpomkg8vxli/40112.pdf?rlkey=hztmj5utt6odg3zrzklfgztji&amp;dl=0" xr:uid="{E3CAB256-B2B8-7747-93F5-7EA923B7FEE6}"/>
    <hyperlink ref="A286" r:id="rId500" display="https://www.dropbox.com/scl/fi/t90q9aj57t8zxpfslk860/40113.pdf?rlkey=3anxmc2dc4swreatzrisz1hdg&amp;dl=0" xr:uid="{FD5D7C30-F955-7147-9851-0B8838218F8D}"/>
    <hyperlink ref="A288" r:id="rId501" display="https://www.dropbox.com/scl/fi/rbpmu3bzh644aj8uzznrz/40120.pdf?rlkey=9fh9kqefpn15vwvzmzaxtrot4&amp;dl=0" xr:uid="{4892F100-88D8-A140-AB99-A7A7CFA9F883}"/>
    <hyperlink ref="A289" r:id="rId502" display="https://www.dropbox.com/scl/fi/v3wbc55f1qa9zh6opq794/40121.pdf?rlkey=btswh5b2dmd7r0xvyb9h3e96y&amp;dl=0" xr:uid="{8B9AE820-E3B5-B840-9434-009D77BC2E3E}"/>
    <hyperlink ref="A291" r:id="rId503" display="https://www.dropbox.com/scl/fi/9ppmrpqfbcocaf7he4fzy/40123.pdf?rlkey=z6ulm70tce4t884bh6vx6hz7x&amp;dl=0" xr:uid="{A9B46F55-7F16-E04B-B20B-F2B592A12D7A}"/>
    <hyperlink ref="A292" r:id="rId504" display="https://www.dropbox.com/scl/fi/4r92h525inls9n0dvvna4/40124.pdf?rlkey=ws7uj4fyt2ot3zx8z0hqhw3ns&amp;dl=0" xr:uid="{52A72D17-7D8E-6540-A3F8-99A62B30CB7A}"/>
    <hyperlink ref="A293" r:id="rId505" display="https://www.dropbox.com/scl/fi/8q9dh0nk9n24u54gccarr/40125.pdf?rlkey=umhykw8h2z9j53udp7o4j7wdd&amp;dl=0" xr:uid="{403FB9B8-5071-0940-B365-897E09D25445}"/>
    <hyperlink ref="A294" r:id="rId506" display="https://www.dropbox.com/scl/fi/5bp1rnuvpkh44s0qtztx0/40126.pdf?rlkey=okfslab0vqdd5a2qsvkp1y0zf&amp;dl=0" xr:uid="{08BB4099-F443-F846-A052-11986C851B89}"/>
    <hyperlink ref="A295" r:id="rId507" display="https://www.dropbox.com/scl/fi/c2hr55nkuf9ay1w7esebn/40127.pdf?rlkey=jjbqsbkcbi0u1ml8lihrnflk6&amp;dl=0" xr:uid="{3D750D1B-3BDF-F74C-9543-5487A6F15C8B}"/>
    <hyperlink ref="A296" r:id="rId508" display="https://www.dropbox.com/scl/fi/kld2p4gdxtrngbfc0o935/40128.pdf?rlkey=qhayzx90hkrc5z1375ma7wf4v&amp;dl=0" xr:uid="{FBCBDBAF-D068-6C40-9907-95F6702FEE5C}"/>
    <hyperlink ref="A297" r:id="rId509" display="https://www.dropbox.com/scl/fi/k3d8tg4arnxgpsrndw953/40129.pdf?rlkey=tifz4ogkaelq8horxian2rvuu&amp;dl=0" xr:uid="{17825807-85A3-5147-B5B0-2E26E914F6AC}"/>
    <hyperlink ref="A298" r:id="rId510" display="https://www.dropbox.com/scl/fi/33qf934838cml5eqcaiym/40130.pdf?rlkey=aunu38h3wcothwosi3bbajmr2&amp;dl=0" xr:uid="{0A91E594-E52C-8B4C-A2A6-9C5F23AFD5A8}"/>
    <hyperlink ref="A299" r:id="rId511" display="https://www.dropbox.com/scl/fi/svbi6yiku986kmfi0pa21/40131.pdf?rlkey=8a7dej9xg2n2rags67m1i0mh6&amp;dl=0" xr:uid="{D75EECF0-C16A-754C-BA61-BADA6CD24C4E}"/>
    <hyperlink ref="A300" r:id="rId512" display="https://www.dropbox.com/scl/fi/13032vcazpzu7wwhod2qw/40132.pdf?rlkey=zei3m11cokyr1o3q0mtvcrm0n&amp;dl=0" xr:uid="{5FDBE45C-6E05-1645-8278-F67A4B6A75B9}"/>
    <hyperlink ref="A301" r:id="rId513" display="https://www.dropbox.com/scl/fi/rwsvxrdwfjnbacz2u07r8/40144.pdf?rlkey=olkbd9hox9sf3cl68ju54rilz&amp;dl=0" xr:uid="{5E69622B-4053-2442-9497-75FF3CBA9C40}"/>
    <hyperlink ref="A302" r:id="rId514" display="https://www.dropbox.com/scl/fi/v17tegms8dycqamxk5ngt/40145.pdf?rlkey=rluwbzw276yq8ilzwfhmz47vh&amp;dl=0" xr:uid="{BCF3173E-BD8F-7F41-9124-14F2BADF2259}"/>
    <hyperlink ref="A303" r:id="rId515" display="https://www.dropbox.com/scl/fi/ky04qo6gnzbu8ideodngy/40152.pdf?rlkey=pq4zfvrds9rbx3x5rudasn2d3&amp;dl=0" xr:uid="{9C469B65-858C-634C-8D83-43E66E1BAE95}"/>
    <hyperlink ref="A304" r:id="rId516" display="https://www.dropbox.com/scl/fi/85wxohau3b4txhrdty1ie/40155.pdf?rlkey=t2ls0ckwq8lblultkloklx0te&amp;dl=0" xr:uid="{AAF83AEA-2670-A745-A237-DAD466FFBC76}"/>
    <hyperlink ref="A305" r:id="rId517" display="https://www.dropbox.com/scl/fi/grp7dc9jkw5ap1jpr4cyd/40156.pdf?rlkey=zrl1yzo6jec1x1q96fbdaioje&amp;dl=0" xr:uid="{008B1620-E58F-DC41-B24C-F836EB480367}"/>
    <hyperlink ref="A306" r:id="rId518" display="https://www.dropbox.com/scl/fi/uox2f7otp5orn4fvz4iqe/40159.pdf?rlkey=dxjv5uuph2f0d8jn0dzdze0fn&amp;dl=0" xr:uid="{885D9159-1D75-4F45-921D-538942272380}"/>
    <hyperlink ref="A307" r:id="rId519" display="https://www.dropbox.com/scl/fi/96b9pit22hvi84xysku30/40163.pdf?rlkey=f22dkf2agwancysr4jn4ffgkc&amp;dl=0" xr:uid="{CB3AB6F0-BC19-824D-9274-F3A8F1D56B1A}"/>
    <hyperlink ref="A308" r:id="rId520" display="https://www.dropbox.com/scl/fi/dc1q57ux1gcesn61ju601/40164.pdf?rlkey=k5omwecyozzxylezbawo3tu7n&amp;dl=0" xr:uid="{EE62812C-D81F-7B41-8326-74B35C0A52AE}"/>
    <hyperlink ref="A309" r:id="rId521" display="https://www.dropbox.com/scl/fi/7kbfzeokfpuchjz6u7ejl/40165.pdf?rlkey=bv1tzvo6gncn2c46u5ezt6d9c&amp;dl=0" xr:uid="{FFA309A1-BDD7-2F43-A9FE-BD49D5A704BD}"/>
    <hyperlink ref="A310" r:id="rId522" display="https://www.dropbox.com/scl/fi/gw3sa08o82c5bptpnr4bh/40166.pdf?rlkey=tqgt00vn6gy0t6pbizd3oz177&amp;dl=0" xr:uid="{1DC98438-60D1-BF47-B926-95B918579E5D}"/>
    <hyperlink ref="A311" r:id="rId523" display="https://www.dropbox.com/scl/fi/fb3b4i8o5kcc9hzrm4wxm/40173.pdf?rlkey=gn88lvtk9nsltju0fw2yovw10&amp;dl=0" xr:uid="{A27B1461-05C7-8F4F-9223-AFF273537984}"/>
    <hyperlink ref="A312" r:id="rId524" display="https://www.dropbox.com/scl/fi/1dbd60mkasm8ur1rgqrjy/40174.pdf?rlkey=7qh5jpf9fjy5429u7ctde8qxc&amp;dl=0" xr:uid="{65EDE075-F599-5241-BFD6-5E1F95AEBD8D}"/>
    <hyperlink ref="A313" r:id="rId525" display="https://www.dropbox.com/scl/fi/98owx3p3h10h5mf5dtq3j/40175.pdf?rlkey=zcegzqp628kotnwf8issyaroh&amp;dl=0" xr:uid="{D33BEA09-4772-2C4D-BC38-07870F3CE6A1}"/>
    <hyperlink ref="A314" r:id="rId526" display="https://www.dropbox.com/scl/fi/gboaoha5ijk4aclpps37h/40176.pdf?rlkey=es147c9vurqualokbcqfszpmv&amp;dl=0" xr:uid="{6EC946A1-3C15-754B-904A-A8586A3E6217}"/>
    <hyperlink ref="A315" r:id="rId527" display="https://www.dropbox.com/scl/fi/316tgcq9nmgva4rs7ihq7/40178.pdf?rlkey=c9kagvt74er1gxzgkmqfzcg7x&amp;dl=0" xr:uid="{370104A0-A512-9A49-A436-048F90864C91}"/>
    <hyperlink ref="A316" r:id="rId528" display="https://www.dropbox.com/scl/fi/a79el32rsvvwsb83cne12/40179.pdf?rlkey=5volqrudd8r91vwg6og9vsn5g&amp;dl=0" xr:uid="{F0E9D5D9-8FBF-FC4E-8FBC-BA5E55A24D33}"/>
    <hyperlink ref="A317" r:id="rId529" display="https://www.dropbox.com/scl/fi/0cjb7soeyl0panepxak3o/40181.pdf?rlkey=lk1zn0buinyhayh5r4fau2579&amp;dl=0" xr:uid="{F6E2D6B4-7C9F-D548-8351-3DEEEF074259}"/>
    <hyperlink ref="A318" r:id="rId530" display="https://www.dropbox.com/scl/fi/cowof58k8y25wfhz4j392/40182.pdf?rlkey=4bv4u1ilf0usdajdp1zdwba3r&amp;dl=0" xr:uid="{09D0892B-5EAA-1347-860A-FAF6B6004576}"/>
    <hyperlink ref="A319" r:id="rId531" display="https://www.dropbox.com/scl/fi/1daodxml3j3d88bp245ov/40183.pdf?rlkey=d1zqcfkukvdenf94rl4y8u1we&amp;dl=0" xr:uid="{B110BA9A-B5D0-AF43-BE87-2749D697AD55}"/>
    <hyperlink ref="A320" r:id="rId532" display="https://www.dropbox.com/scl/fi/6uppf3u3grp6h099ul9p3/40184.pdf?rlkey=a0n7wkyxljo5eim9o5fnd1gm7&amp;dl=0" xr:uid="{2D66D0CF-4D6A-084A-BDA5-9F9352190006}"/>
    <hyperlink ref="A321" r:id="rId533" display="https://www.dropbox.com/scl/fi/ej4ve0mubawgzybnq20z2/40185.pdf?rlkey=yn03nvvyxnk3mwyrv1dczicee&amp;dl=0" xr:uid="{6AEBDA7F-CCF4-6D43-8B92-7D4A2DD2DE83}"/>
    <hyperlink ref="A322" r:id="rId534" display="https://www.dropbox.com/scl/fi/al5avjto6k6m16o0bi5tx/40186.pdf?rlkey=h2nlnphbyuezutvrwef24e2kp&amp;dl=0" xr:uid="{C3D7213D-7892-D044-8A8B-3E4E12A52A2E}"/>
    <hyperlink ref="A323" r:id="rId535" display="https://www.dropbox.com/scl/fi/prvxcz5ny21c2an9g0d68/40187.pdf?rlkey=kbtxxfx1juncy5y00tpjzr38f&amp;dl=0" xr:uid="{7B2EA6F1-1832-2649-AA39-69D55309647B}"/>
    <hyperlink ref="A324" r:id="rId536" display="https://www.dropbox.com/scl/fi/d1eoxyijkbjme85wcth6y/40189.pdf?rlkey=zw6gds3m3xgbyel65d5jlyc57&amp;dl=0" xr:uid="{FCE0A7D7-3A9D-CD45-83FA-075F8DD2B69F}"/>
    <hyperlink ref="A325" r:id="rId537" display="https://www.dropbox.com/scl/fi/wn2vhstog4df9kftej639/40190.pdf?rlkey=pbh0zmrzul6is2ycisfxsjfi3&amp;dl=0" xr:uid="{963BE7BB-F6BB-544D-8F5C-31A65AC3D0C7}"/>
    <hyperlink ref="A326" r:id="rId538" display="https://www.dropbox.com/scl/fi/u0yml5gixmewc7c3489n1/40191.pdf?rlkey=2ed0cublm5khlg2scoiuciv5g&amp;dl=0" xr:uid="{9440E584-398F-2B48-8B3F-DD03E853258C}"/>
    <hyperlink ref="A327" r:id="rId539" display="https://www.dropbox.com/scl/fi/barx351030oj9b0bselt3/40192.pdf?rlkey=yp48p3mfvw59rmbdxb464ddo7&amp;dl=0" xr:uid="{1F7AE960-C57D-B84F-8003-D27FB677B5A3}"/>
    <hyperlink ref="A328" r:id="rId540" display="https://www.dropbox.com/scl/fi/qxiukvluureyzn1c85o8i/40193.pdf?rlkey=zuscz0j94cjm3xnw2c8oczmva&amp;dl=0" xr:uid="{F62A5476-4564-EF43-8157-312748FA1BB5}"/>
    <hyperlink ref="A329" r:id="rId541" display="https://www.dropbox.com/scl/fi/frd5lmrmk6lkezub6ea9j/40196.pdf?rlkey=9vcix37j5jkwv3t8ne7qao9y0&amp;dl=0" xr:uid="{8263DD35-583B-EA4A-908A-9532AE1C621A}"/>
    <hyperlink ref="A330" r:id="rId542" display="https://www.dropbox.com/scl/fi/b6e8qvojs8y1e5zp69hkg/40197.pdf?rlkey=u25z3y0fvtario5fqtkk5bzsq&amp;dl=0" xr:uid="{68276DCE-3A79-A148-9638-ED7952B78D27}"/>
    <hyperlink ref="A331" r:id="rId543" display="https://www.dropbox.com/scl/fi/ze73pi61ujgo13uj8lt7q/40201.pdf?rlkey=dapjlt390dxz7nusfq3co4yc8&amp;dl=0" xr:uid="{A4811904-0360-2F4E-A957-146B86D8F7AF}"/>
    <hyperlink ref="A332" r:id="rId544" display="https://www.dropbox.com/scl/fi/vdeyhz0mudqyc7csscjg1/40202.pdf?rlkey=02vix5l2398nqn1hrw5f7kubu&amp;dl=0" xr:uid="{B604A5DE-3964-C847-893E-451D05E4DEF7}"/>
    <hyperlink ref="A333" r:id="rId545" display="https://www.dropbox.com/scl/fi/vy78fbsnqvpfwt3iwv8p3/40203.pdf?rlkey=m5c2l26q8mlimy6mqf47bkcr5&amp;dl=0" xr:uid="{02AA8F53-172C-D440-BACF-AD54F00698ED}"/>
    <hyperlink ref="A334" r:id="rId546" display="https://www.dropbox.com/scl/fi/aa4fvzejhxvlm33z7yu57/40204.pdf?rlkey=tt3g1barhcv9qa394qwia9xij&amp;dl=0" xr:uid="{5123CED5-7417-CB48-9479-930556C10328}"/>
    <hyperlink ref="A335" r:id="rId547" display="https://www.dropbox.com/scl/fi/ocbq0vjjbxmurulvahrx6/40205.pdf?rlkey=jr86mcc9v26qj0c9odocglqek&amp;dl=0" xr:uid="{8C242359-002E-3D42-B5B8-074F51324EDB}"/>
    <hyperlink ref="A336" r:id="rId548" display="https://www.dropbox.com/scl/fi/wzcpa2997psqkg1uymv0o/40206.pdf?rlkey=zzczk9iixmujh3vutalf96z48&amp;dl=0" xr:uid="{A682445E-8210-1440-9655-7F5161092D68}"/>
    <hyperlink ref="A337" r:id="rId549" display="https://www.dropbox.com/scl/fi/zzt1kgm333a631e2pby2o/40207.pdf?rlkey=prmspemegybd0barckxqyst81&amp;dl=0" xr:uid="{4E41B98C-DC35-CE48-838A-704278E45F26}"/>
    <hyperlink ref="A338" r:id="rId550" display="https://www.dropbox.com/scl/fi/lgyuk5qj6umkql5ol0hc6/40208.pdf?rlkey=joewogdquvakh472gxq0o5amk&amp;dl=0" xr:uid="{CA1172DD-2278-A544-BEE3-3C200E442464}"/>
    <hyperlink ref="A339" r:id="rId551" display="https://www.dropbox.com/scl/fi/w29tsgz3at4bc7cxzmkin/40211.pdf?rlkey=h9mzp4k3e0xpaduip0kf4xj0r&amp;dl=0" xr:uid="{DCA8E060-2BA9-4040-88AF-8FA29282AC76}"/>
    <hyperlink ref="A340" r:id="rId552" display="https://www.dropbox.com/scl/fi/l2xn38ndk16o7xrs7imf1/40212.pdf?rlkey=rtmr9m4vqupiujhn8dqd4i417&amp;dl=0" xr:uid="{755CFCFD-7DC7-4B48-B6F0-D1605D7C0C75}"/>
    <hyperlink ref="A341" r:id="rId553" display="https://www.dropbox.com/scl/fi/iwwejd7pgb4tb0o9qbc5j/40213.pdf?rlkey=8o4e7pyg39gg0eexa2x89xnw6&amp;dl=0" xr:uid="{3249B5A4-8B04-D643-BACC-00007173EFBD}"/>
    <hyperlink ref="A342" r:id="rId554" display="https://www.dropbox.com/scl/fi/41nm7a6vioig0k9j6su9k/40214.pdf?rlkey=p5wvxc9jukm0srjot6hn7hsgw&amp;dl=0" xr:uid="{2C0137F6-80AF-D049-B213-CD1DBD79406A}"/>
    <hyperlink ref="A343" r:id="rId555" display="https://www.dropbox.com/scl/fi/65myipfripxw4e8vmcrfl/40215.pdf?rlkey=sp0khedz65kxkmuu9s67e8twv&amp;dl=0" xr:uid="{C6ACA6BB-7385-5340-9952-CEB777D6623F}"/>
    <hyperlink ref="A344" r:id="rId556" display="https://www.dropbox.com/scl/fi/88zwnz73u8b5h84qjhyw2/40216.pdf?rlkey=8xf1eija72ixiq62o9n50rcq2&amp;dl=0" xr:uid="{BF814292-35EF-134A-A36C-5DF85D5BD252}"/>
    <hyperlink ref="A345" r:id="rId557" display="https://www.dropbox.com/scl/fi/1r4urk4mk0zpuxf9rqkdi/40217.pdf?rlkey=5n8nawtjjsk837x5qfvxmkpza&amp;dl=0" xr:uid="{0289EAF2-1D44-8542-A806-DE87C84675B2}"/>
    <hyperlink ref="A346" r:id="rId558" display="https://www.dropbox.com/scl/fi/ecxnnxwwzgpuyn7f5oeos/40218.pdf?rlkey=613lxml4birsz8uagsgj8ew68&amp;dl=0" xr:uid="{6AFC1FCE-E162-9140-9601-EC9608A705A1}"/>
    <hyperlink ref="A347" r:id="rId559" display="https://www.dropbox.com/scl/fi/rs4rr3hejyent7nmchcpk/40219.pdf?rlkey=8mvgts2bmuslb16hs6bicxynp&amp;dl=0" xr:uid="{1BA810B6-0322-F449-9EC1-68D813A81A30}"/>
    <hyperlink ref="A348" r:id="rId560" display="https://www.dropbox.com/scl/fi/a3uulydn374whq7e61knj/40220.pdf?rlkey=jeaak55r3jutk9t4hohvr9lmb&amp;dl=0" xr:uid="{C1F85B7D-20AF-C842-9899-2CED50723217}"/>
    <hyperlink ref="A349" r:id="rId561" display="https://www.dropbox.com/scl/fi/4vulcdxiqyvo359x6lf9h/40221.pdf?rlkey=uo5is6krt8qth2cpgsg5mb81i&amp;dl=0" xr:uid="{7D9AAF7A-637D-EB4B-82AB-8ACA04D46F79}"/>
    <hyperlink ref="A350" r:id="rId562" display="https://www.dropbox.com/scl/fi/tw7oaibfid3gtkqt279je/40222.pdf?rlkey=l3wisnzs4hplp0d8c5byyxqld&amp;dl=0" xr:uid="{46CDBA92-5684-0942-AAC0-D1687E069BE2}"/>
    <hyperlink ref="A351" r:id="rId563" display="https://www.dropbox.com/scl/fi/jodqmzxg4tqc0f430ey01/40223.pdf?rlkey=l0ewuxk558bsugm2jwys6a1vh&amp;dl=0" xr:uid="{FB346EA6-24CC-7C49-8F53-581CFB9F2276}"/>
    <hyperlink ref="A352" r:id="rId564" display="https://www.dropbox.com/scl/fi/eypf252lj1llp3b6ujdwq/40224.pdf?rlkey=xdl3cmcj2edkvwd3vx8xuq0yo&amp;dl=0" xr:uid="{15E69819-DB75-8D4A-B67C-01C058406CD0}"/>
    <hyperlink ref="A353" r:id="rId565" display="https://www.dropbox.com/scl/fi/q5znhbchehq9f7syn2m3p/40226.pdf?rlkey=rm1hxy8fmpi6wo3tkyeafeojo&amp;dl=0" xr:uid="{AB4FD12D-B44F-774B-BBFF-70A2E5747ADB}"/>
    <hyperlink ref="A354" r:id="rId566" display="https://www.dropbox.com/scl/fi/4v15ftk61v1hxyle3amud/40227.pdf?rlkey=3ey1s08fnxu9ch05bpfdqi1b2&amp;dl=0" xr:uid="{4A4CCA89-D7B3-3C4D-9D24-142C6DD536E7}"/>
    <hyperlink ref="A355" r:id="rId567" display="https://www.dropbox.com/scl/fi/uhy5m1sf0hf37urjiwo32/40228.pdf?rlkey=1j9dopah8lghtz0dhpjw33y5v&amp;dl=0" xr:uid="{8214A768-E82A-FC4A-9AA2-E0AC71AC59A0}"/>
    <hyperlink ref="A356" r:id="rId568" display="https://www.dropbox.com/scl/fi/kuux635mn85hs6iniopno/40229.pdf?rlkey=0gr2ooeex1557uccp3mz7s4rv&amp;dl=0" xr:uid="{5AEC90DA-CCF1-2D42-9930-F16BCA691D4B}"/>
    <hyperlink ref="A357" r:id="rId569" display="https://www.dropbox.com/scl/fi/feaoonxmtks9p9083xz1h/40230.pdf?rlkey=yzra96iyixkjafdidx0h28v6e&amp;dl=0" xr:uid="{C5CF6A5A-FAFB-2F4B-9890-AAC2E674A4B4}"/>
    <hyperlink ref="A358" r:id="rId570" display="https://www.dropbox.com/scl/fi/63xjctpqg28uqb4tmd8t1/40231.pdf?rlkey=d8g15nok1cbswzbgtrbkeur4c&amp;dl=0" xr:uid="{E26E280A-8695-344E-83E1-5E229C0A35F6}"/>
    <hyperlink ref="A359" r:id="rId571" display="https://www.dropbox.com/scl/fi/yvjzmnqf7qe83nueis59f/40232.pdf?rlkey=kug7w7iepx85zw5svqyuxkqeu&amp;dl=0" xr:uid="{4D5427CA-A8D9-DE4A-B001-0F058DC3718C}"/>
    <hyperlink ref="A360" r:id="rId572" display="https://www.dropbox.com/scl/fi/vy66vi8uj2awf9id1gt5w/40233.pdf?rlkey=xhkjwa2j3pakcu9s98l2mn8oa&amp;dl=0" xr:uid="{B269C7EB-8478-D740-AA86-3650452E26B5}"/>
    <hyperlink ref="A361" r:id="rId573" display="https://www.dropbox.com/scl/fi/lq77ds8hsf88ucjpoo7he/40235.pdf?rlkey=p63tk5q5jpaq8gaooyp1vo4sl&amp;dl=0" xr:uid="{3587DEBD-BDEB-4940-938A-D641AF898179}"/>
    <hyperlink ref="A362" r:id="rId574" display="https://www.dropbox.com/scl/fi/5nk4zqlx33kidoe0egpln/40236.pdf?rlkey=osfkew6cj4v0w04xcjpmpzmmx&amp;dl=0" xr:uid="{F1B72961-25D8-A345-BD2E-41B13614C492}"/>
    <hyperlink ref="A363" r:id="rId575" display="https://www.dropbox.com/scl/fi/63q5qpjlh0mgtba7pfgys/40237.pdf?rlkey=8kzbltwngr6bb7b354ylxzwan&amp;dl=0" xr:uid="{14E4E726-565C-7B47-BE3C-8BCD346F1808}"/>
    <hyperlink ref="A364" r:id="rId576" display="https://www.dropbox.com/scl/fi/apvpkkhwx9njxr4som96c/40238.pdf?rlkey=jkpd185cq9osdqjt33lhqrcat&amp;dl=0" xr:uid="{A546A043-4CDA-564E-821B-5635EB34831F}"/>
    <hyperlink ref="A365" r:id="rId577" display="https://www.dropbox.com/scl/fi/ve2mrpd40f5q0lggyzu8p/40239.pdf?rlkey=86b8b42alweyylrmrfg6sb06m&amp;dl=0" xr:uid="{19968285-4251-8741-95FD-2A6FEBBF932F}"/>
    <hyperlink ref="A366" r:id="rId578" display="https://www.dropbox.com/scl/fi/3kvp4pimvsuovm5t0tjp5/40241.pdf?rlkey=avzbqozeexzlsrygcbe90n22k&amp;dl=0" xr:uid="{D04A0715-2C2A-3A4A-9FDD-6C79EB612F41}"/>
    <hyperlink ref="A367" r:id="rId579" display="https://www.dropbox.com/scl/fi/soq5n307t57byrhhwchj6/40242.pdf?rlkey=gn83c38sijv88j11dshzmdqj2&amp;dl=0" xr:uid="{3EF547DD-45FF-4940-9D51-6C7A39979174}"/>
    <hyperlink ref="A368" r:id="rId580" display="https://www.dropbox.com/scl/fi/cidcayxs2pw1xcb9i1c6i/40243.pdf?rlkey=4xpnwxlkqtcvfu8qb3n6gx2yt&amp;dl=0" xr:uid="{DD7E920F-A72E-3C41-A7B8-38BB50BFA234}"/>
    <hyperlink ref="A369" r:id="rId581" display="https://www.dropbox.com/scl/fi/g40iozc4kbisml1cnk0oa/40264.pdf?rlkey=53tjl1q9o5xh5d1phwyxm8fay&amp;dl=0" xr:uid="{4A04201E-C76D-9D4B-8150-5D6BD31C6C05}"/>
    <hyperlink ref="A370" r:id="rId582" display="https://www.dropbox.com/scl/fi/dn7uc4ko0qhojxynu4nfz/40266.pdf?rlkey=ngdr1x548vwwgaupm1cck9q4y&amp;dl=0" xr:uid="{8D84DBA4-FBC3-A648-A2BA-01C5D8056DCB}"/>
    <hyperlink ref="A371" r:id="rId583" display="https://www.dropbox.com/scl/fi/yuipw190d078048ma0emk/40269.pdf?rlkey=6d0u6sjewn4xx8k3rifgnpysv&amp;dl=0" xr:uid="{72AD749C-B70E-C749-B349-F51C5819BB80}"/>
    <hyperlink ref="A372" r:id="rId584" display="https://www.dropbox.com/scl/fi/wzlbuymzf89zc1meakjcb/40270.pdf?rlkey=q3m2f6yc30gtm9vzhu24yyy57&amp;dl=0" xr:uid="{89C31FC7-2E61-6340-BA20-090994939F24}"/>
    <hyperlink ref="A373" r:id="rId585" display="https://www.dropbox.com/scl/fi/dh97k59fzvcs5xofgtekr/40275.pdf?rlkey=xso1dyoeythjd82o3e2rns26a&amp;dl=0" xr:uid="{A77435A9-69B9-8247-AA62-C60D057B88B6}"/>
    <hyperlink ref="A374" r:id="rId586" display="https://www.dropbox.com/scl/fi/vrkgudz0ewjy01uapont0/40276.pdf?rlkey=3ocgpynar6hk80lx6sbdtyeup&amp;dl=0" xr:uid="{0242E9E2-F588-0A4A-B007-EB031A8CC2FB}"/>
    <hyperlink ref="A375" r:id="rId587" display="https://www.dropbox.com/scl/fi/0ub8zzgvekpfn5aeaoheo/40277.pdf?rlkey=nodiuvtvsgdcpf0td96zsc0wq&amp;dl=0" xr:uid="{909DC243-B493-5B4F-876D-60AF17A9B812}"/>
    <hyperlink ref="A376" r:id="rId588" display="https://www.dropbox.com/scl/fi/i3f4xkkxx79kajh2g5hnr/40278.pdf?rlkey=xi56vit1j7vn5ow4r5at6nehq&amp;dl=0" xr:uid="{654B9D0E-CD5F-F34E-8868-FB306B78DC4F}"/>
    <hyperlink ref="A377" r:id="rId589" display="https://www.dropbox.com/scl/fi/7onetxl9bvmysiuwz8cg4/40279.pdf?rlkey=5gkhq8tj2ce3bukv5pf52al7w&amp;dl=0" xr:uid="{9FC2B255-1D7E-0F45-A175-07D842E2AF37}"/>
    <hyperlink ref="A378" r:id="rId590" display="https://www.dropbox.com/scl/fi/bqmtdzvton3sdfocrkp30/40280.pdf?rlkey=w9bymlz8jqenpyilqpcoca7kt&amp;dl=0" xr:uid="{DA7BEB4D-2EA6-A94E-A9C5-B8B277B29A8A}"/>
    <hyperlink ref="A379" r:id="rId591" display="https://www.dropbox.com/scl/fi/plv3eb27j0j9jukc0gkq1/40281.pdf?rlkey=5wcctdpgc2awo5mgx7rhhtvjb&amp;dl=0" xr:uid="{1E5457B0-D201-9346-9E7C-64E33E066EA4}"/>
    <hyperlink ref="A381" r:id="rId592" display="https://www.dropbox.com/scl/fi/uhiqrly0590ez0w30ftin/40285.pdf?rlkey=jt6tdz55isyv185l4rhvd83kv&amp;dl=0" xr:uid="{8C7D6DF7-3F66-C64C-8CE1-CCAF09D424C8}"/>
    <hyperlink ref="A382" r:id="rId593" display="https://www.dropbox.com/scl/fi/i8zeyagan8zwq7n41kkd4/40286.pdf?rlkey=iypm8ocra4f7pl1vr43em875o&amp;dl=0" xr:uid="{27C37B52-2F62-2F4D-89F4-8CDD41485DE8}"/>
    <hyperlink ref="A383" r:id="rId594" display="https://www.dropbox.com/scl/fi/9lztn5hitwvp6ekv7dt1l/40287.pdf?rlkey=wq9zwaytj34nj95qfuidnoniq&amp;dl=0" xr:uid="{C1FB3821-BC8B-354F-8F7F-87C37821BCD0}"/>
    <hyperlink ref="A384" r:id="rId595" display="https://www.dropbox.com/scl/fi/pwqb5mjmcjtdgmk3seqrx/40288.pdf?rlkey=1nal8e1iebdzcu5iyea8ilbbw&amp;dl=0" xr:uid="{0BB9CCAF-65EF-AC44-BF26-A152844C8BDE}"/>
    <hyperlink ref="A385" r:id="rId596" display="https://www.dropbox.com/scl/fi/kiav6swxkefo9pc4nva3n/40289.pdf?rlkey=wgghto3kr8de4ut1i8894w31e&amp;dl=0" xr:uid="{88074C12-23F3-8449-B90F-9A9640CCF64F}"/>
    <hyperlink ref="A386" r:id="rId597" display="https://www.dropbox.com/scl/fi/1x0d7ihkx4vohyokpvaql/40290.pdf?rlkey=65bw070t9zewhcv5221srd1po&amp;dl=0" xr:uid="{A48C6AC6-BF4C-E24C-B51A-43B74B16539B}"/>
    <hyperlink ref="A388" r:id="rId598" display="https://www.dropbox.com/scl/fi/46iaciwm3gr17toea837g/40292.pdf?rlkey=tg557w2bxp3lyninu3xx8qni9&amp;dl=0" xr:uid="{B9976F74-401E-6A40-9A12-162E819E3F6A}"/>
    <hyperlink ref="A389" r:id="rId599" display="https://www.dropbox.com/scl/fi/ardb06z7ryan3zh65uo8j/40293.pdf?rlkey=if2p5rc2huag768s7fb13e8sz&amp;dl=0" xr:uid="{E72B812E-A6A6-A244-86EC-1AE54B31AFD5}"/>
    <hyperlink ref="A390" r:id="rId600" display="https://www.dropbox.com/scl/fi/jzp7j5i0qm4jk6bb40pzq/40294.pdf?rlkey=r81uzovuocg94o8m5ix8rtwop&amp;dl=0" xr:uid="{30CD6B33-690C-2E48-AD9A-F23CC3A97BCD}"/>
    <hyperlink ref="A391" r:id="rId601" display="https://www.dropbox.com/scl/fi/hxagzftyhg377962h8do7/40295.pdf?rlkey=hrqt25jigqrjqg9fah4lekyso&amp;dl=0" xr:uid="{0C1C613D-C7F8-E748-B805-E581223B7433}"/>
    <hyperlink ref="A392" r:id="rId602" display="https://www.dropbox.com/scl/fi/1rz8b0y4il8wg7g3n6px5/40296.pdf?rlkey=t7sk17jn1ts0fd88z838u9xbd&amp;dl=0" xr:uid="{86EAE26E-F64D-1B49-9CBB-6712ED0FADFD}"/>
    <hyperlink ref="A393" r:id="rId603" display="https://www.dropbox.com/scl/fi/l8p1v2v2km4hokwk0ryyu/40297.pdf?rlkey=e71vnh6wgm51ugt4z5yxiaw1u&amp;dl=0" xr:uid="{FF53EA56-DE7C-1141-8822-7E2F5DE725C5}"/>
    <hyperlink ref="A394" r:id="rId604" display="https://www.dropbox.com/scl/fi/r9x8nvgmfo7uodwlm0if1/40301.pdf?rlkey=u8ssy2fvouaz80dh8ernnxg6g&amp;dl=0" xr:uid="{6192D1AD-2563-DE4C-8394-9237CD7DA497}"/>
    <hyperlink ref="A395" r:id="rId605" display="https://www.dropbox.com/scl/fi/5d2wabw1gle3axl36c8ua/40302.pdf?rlkey=dx862butw18ql0bk5pdord6af&amp;dl=0" xr:uid="{42EB90CD-259F-3444-8278-F858CF5F725D}"/>
    <hyperlink ref="A396" r:id="rId606" display="https://www.dropbox.com/scl/fi/prgr2ov2ngkqo1c0wl7tw/40303.pdf?rlkey=s0z57jpbwizv3yguju1a4ajgx&amp;dl=0" xr:uid="{A61AB374-B6FC-FB4B-9A0A-E6649DDCED33}"/>
    <hyperlink ref="A397" r:id="rId607" display="https://www.dropbox.com/scl/fi/jvch6fewj2ttia4np00h0/40304.pdf?rlkey=1gixoig6u1rcdd7avof1wctba&amp;dl=0" xr:uid="{F56D2974-E39E-354D-B306-A82ACB988607}"/>
    <hyperlink ref="A398" r:id="rId608" display="https://www.dropbox.com/scl/fi/9scmf15wfyspahpg5p575/40305.pdf?rlkey=6jadym6tqe509soav04n9l9s8&amp;dl=0" xr:uid="{86180E15-527B-6D4D-8B61-D7BD553BC7CF}"/>
    <hyperlink ref="A399" r:id="rId609" display="https://www.dropbox.com/scl/fi/62w0bnwwe7enpccq2wtvv/40307.pdf?rlkey=2dpe1vo13zacew7aoqovmgso7&amp;dl=0" xr:uid="{F0F1D436-4C95-9946-8187-623F010C5AC3}"/>
    <hyperlink ref="A400" r:id="rId610" display="https://www.dropbox.com/scl/fi/0qtufdqwtrt60fzpdshdv/40308.pdf?rlkey=4g0st7s5tgp4rwia9rj1zstfm&amp;dl=0" xr:uid="{0AF89E5E-A9B0-CA4E-AEC3-C4F681DE7E9C}"/>
    <hyperlink ref="A401" r:id="rId611" display="https://www.dropbox.com/scl/fi/cavtcb7cthrjx3wgpcoss/40311.pdf?rlkey=zx7kfzmtbmgdwh4etfa01vzlt&amp;dl=0" xr:uid="{446EA31C-790C-FF4A-9CF7-09C36710F275}"/>
    <hyperlink ref="A402" r:id="rId612" display="https://www.dropbox.com/scl/fi/48tp63v0sb0fxgbitnqu2/40312.pdf?rlkey=ye9u1tmkjo0j2h0szd4lrokpx&amp;dl=0" xr:uid="{1C7C0A2D-2E57-D94B-A082-83A7E7973304}"/>
    <hyperlink ref="A403" r:id="rId613" display="https://www.dropbox.com/scl/fi/ijh1w61etenvb0hoepnm0/40313.pdf?rlkey=x3aj39k99u93nhr7r4batvixu&amp;dl=0" xr:uid="{4EA375CB-2907-1542-AB8C-C454B7D3E629}"/>
    <hyperlink ref="A404" r:id="rId614" display="https://www.dropbox.com/scl/fi/8bltae76gbn7acnp9tlpy/40314.pdf?rlkey=iib8kmzczp8xg0l50e4pqk513&amp;dl=0" xr:uid="{B437DC32-C32C-5042-AE52-9B18694A9862}"/>
    <hyperlink ref="A405" r:id="rId615" display="https://www.dropbox.com/scl/fi/ofqjsf9y5n04s6klqqi6t/40316.pdf?rlkey=ysilb2314hq2pm5eaad5jmltb&amp;dl=0" xr:uid="{9B9EF299-811C-694B-AA2A-793883CBA62C}"/>
    <hyperlink ref="A406" r:id="rId616" display="https://www.dropbox.com/scl/fi/586r9q0w2u63hbx8d1iw4/40317.pdf?rlkey=3kzr2cq1e2kboxsgf035l88bl&amp;dl=0" xr:uid="{D886AD39-A79C-3B45-9B87-20B3C2314C18}"/>
    <hyperlink ref="A407" r:id="rId617" display="https://www.dropbox.com/scl/fi/86678cwlpy7ec5xv0vsvj/40318.pdf?rlkey=n9nj549z0gpju7kodxlmqqzmh&amp;dl=0" xr:uid="{6C126279-3E55-6C42-A68D-C8FBF367A85E}"/>
    <hyperlink ref="A408" r:id="rId618" display="https://www.dropbox.com/scl/fi/vqvtlgtusm60bss5dv8jp/40319.pdf?rlkey=4szsrxx34mslzmoumv4rg235g&amp;dl=0" xr:uid="{0F55BB67-8D66-954B-B70D-5F445C201AE7}"/>
    <hyperlink ref="A409" r:id="rId619" display="https://www.dropbox.com/scl/fi/nhggd47inyqelapfzu4r7/40320.pdf?rlkey=fexib9nhujdfz5uvdyj24oys0&amp;dl=0" xr:uid="{D8B6157D-1752-2B4E-8310-8926B55CD01B}"/>
    <hyperlink ref="A410" r:id="rId620" display="https://www.dropbox.com/scl/fi/k2fd4ogcg68eagkejblg5/40321.pdf?rlkey=6awm4poj6fsbxn1nbkpwz35s5&amp;dl=0" xr:uid="{E8420005-1F50-0A46-9709-E6A1672FAAF2}"/>
    <hyperlink ref="A411" r:id="rId621" display="https://www.dropbox.com/scl/fi/swrqp4s0puodpgzwbbiwc/40322.pdf?rlkey=hwg1zvg1vd6xrez4rai9np1wl&amp;dl=0" xr:uid="{360DC615-7ACE-DD41-AA8B-2C15DC88D4B2}"/>
    <hyperlink ref="A412" r:id="rId622" display="https://www.dropbox.com/scl/fi/mqd8q6i3n9h7r2362orqg/40323.pdf?rlkey=5ll1jvcbuy5u9lx245xdsg1xu&amp;dl=0" xr:uid="{CB15A95B-D5D5-7542-9EB1-28D55C2BB23B}"/>
    <hyperlink ref="A413" r:id="rId623" display="https://www.dropbox.com/scl/fi/4w4ocbxdtfsgxaxqfpulu/40324.pdf?rlkey=923h4ytpao4pkv3onvq140f2c&amp;dl=0" xr:uid="{A99B83C7-1BEC-034D-8E6D-C51D25CAE377}"/>
    <hyperlink ref="A414" r:id="rId624" display="https://www.dropbox.com/scl/fi/b5pblw700wkl08xgtqn2x/40325.pdf?rlkey=a5cdqgwc3d0d6kba9wrjva8p1&amp;dl=0" xr:uid="{78B5D1F4-394E-254F-87AD-D25331604225}"/>
    <hyperlink ref="A415" r:id="rId625" display="https://www.dropbox.com/scl/fi/grnkrxn6bjyaokytnyldi/40326.pdf?rlkey=st7bb2mhd2kxidir5ok78aj7z&amp;dl=0" xr:uid="{DFD821B5-A811-D84D-8121-A06554F09EAC}"/>
    <hyperlink ref="A416" r:id="rId626" display="https://www.dropbox.com/scl/fi/rc0049g8t7ux6p4akwmpj/40327.pdf?rlkey=0whzcfwdlhldjwgjmrd5jaaxp&amp;dl=0" xr:uid="{1A7C60CF-1D20-A24B-B501-261C2DE9F836}"/>
    <hyperlink ref="A417" r:id="rId627" display="https://www.dropbox.com/scl/fi/eswjqhnb8fz4kak4ikbw3/40333.pdf?rlkey=3x8tcf7tqz88tnj8g9bxjoa8t&amp;dl=0" xr:uid="{4BDB50CF-D05D-5849-9F76-B5E9993AF6A0}"/>
    <hyperlink ref="A418" r:id="rId628" display="https://www.dropbox.com/scl/fi/d7q0ph4otre5422vz2ulv/40337.pdf?rlkey=l54v7764oivgmojk8ocrwnb5w&amp;dl=0" xr:uid="{109D5EE4-3A59-DE47-B365-BD0850A50F3A}"/>
    <hyperlink ref="A419" r:id="rId629" display="https://www.dropbox.com/scl/fi/bewirvyt5ayv1afasyqgt/40338.pdf?rlkey=zs0wjwu7s6v2yujj2g2o62zht&amp;dl=0" xr:uid="{8E227306-3945-3D43-A00B-46C945C189B7}"/>
    <hyperlink ref="A420" r:id="rId630" display="https://www.dropbox.com/scl/fi/5lurt4cdgx2yqfkzfk950/40339.pdf?rlkey=b5088fdx6uv5e22hlu0npdx2c&amp;dl=0" xr:uid="{C5433500-9EFC-9C47-91DA-EE2DBC10FE1D}"/>
    <hyperlink ref="A421" r:id="rId631" display="https://www.dropbox.com/scl/fi/sxs5w65kmfg0bpk19k0tk/40340.pdf?rlkey=28zmzi2z5fpoivad9olfvbqk5&amp;dl=0" xr:uid="{7B68CB7C-67C5-0D4A-BF53-79A13E7FEDCF}"/>
    <hyperlink ref="A422" r:id="rId632" display="https://www.dropbox.com/scl/fi/7745sda1evuyn4xqlqse6/40341.pdf?rlkey=cx9ba8m4uawci9kz3p0wae08y&amp;dl=0" xr:uid="{DDEF893D-5712-474A-A560-5023EAE7F9A6}"/>
    <hyperlink ref="A423" r:id="rId633" display="https://www.dropbox.com/scl/fi/49dbaqazhiye4b3ryw39l/40343.pdf?rlkey=v2iyp1toem6o4wdo5sh4wnnvo&amp;dl=0" xr:uid="{FB70C48F-F657-0047-A347-75B1E7B98783}"/>
    <hyperlink ref="A424" r:id="rId634" display="https://www.dropbox.com/scl/fi/zgxmr72ns0asmjshdcufr/40344.pdf?rlkey=z1gm9ovzgcenvpmqwj8kjff5i&amp;dl=0" xr:uid="{EBB77CF7-052D-8544-BB30-CE0047059DE3}"/>
    <hyperlink ref="A425" r:id="rId635" display="https://www.dropbox.com/scl/fi/yfzwywxy56sugty42qwih/40345.pdf?rlkey=8wpterfs303kyfc82qittc81t&amp;dl=0" xr:uid="{208667AB-51E9-8E4D-BBAC-2763B7E91B11}"/>
    <hyperlink ref="A426" r:id="rId636" display="https://www.dropbox.com/scl/fi/w1hlqpe2o5fz57ls2uos9/40346.pdf?rlkey=8wi9i8n6d0x1s5vo8ck1dhu0g&amp;dl=0" xr:uid="{99412317-52FC-A64A-A610-93DD502026E7}"/>
    <hyperlink ref="A427" r:id="rId637" display="https://www.dropbox.com/scl/fi/0ja6n6qf5s5o6rju6izji/40347.pdf?rlkey=2kpzwvrfa11qypzgaz5h5r2tm&amp;dl=0" xr:uid="{C449203C-1D5C-244A-B4C4-939F56C969A4}"/>
    <hyperlink ref="A428" r:id="rId638" display="https://www.dropbox.com/scl/fi/6c0q8jvnxtk0bw60w0wtr/40348.pdf?rlkey=6llejs9yt8q13qdys3ke4t4mw&amp;dl=0" xr:uid="{7184AC1B-608D-1141-B211-B0295BAF827D}"/>
    <hyperlink ref="A429" r:id="rId639" display="https://www.dropbox.com/scl/fi/kth2ouqb7qjaca96l026g/40350.pdf?rlkey=9a6t9i5ka0rnzax31yjpqp1wv&amp;dl=0" xr:uid="{CC0568A6-FF07-5B4A-AA45-16AAD845F138}"/>
    <hyperlink ref="A430" r:id="rId640" display="https://www.dropbox.com/scl/fi/gzdayemz0oyfz2n74b611/40360.pdf?rlkey=s59w6c26klj9gu57n8d6esruk&amp;dl=0" xr:uid="{E0E542F0-4472-784D-B87B-2BDCE0F430E4}"/>
    <hyperlink ref="A431" r:id="rId641" display="https://www.dropbox.com/scl/fi/z86p0rqx5wxfljhckuisy/40361.pdf?rlkey=xpncny4mrf86qlwoy1yrryxx4&amp;dl=0" xr:uid="{4CF7B5CF-DD3B-AF4B-A419-E53B0EFCDD32}"/>
    <hyperlink ref="A432" r:id="rId642" display="https://www.dropbox.com/scl/fi/f6vwjw3u9ufn85v4wxtcp/40362.pdf?rlkey=xfa2j1o8xuj7pj5ut54r5i5it&amp;dl=0" xr:uid="{C7EFB063-8672-074D-8DCC-D50443D2F081}"/>
    <hyperlink ref="A433" r:id="rId643" display="https://www.dropbox.com/scl/fi/wrcccu2d692309j4zwhyx/40365.pdf?rlkey=ddh1d9y4f4d5l2guono0kzjf6&amp;dl=0" xr:uid="{5295F859-EA7A-AC4F-AC37-66BD5B7FA3D5}"/>
    <hyperlink ref="A434" r:id="rId644" display="https://www.dropbox.com/scl/fi/hur86ml7m497kh0zzlgq1/40366.pdf?rlkey=82dlnet15u48ch4nfb8zvz8j6&amp;dl=0" xr:uid="{94CC08AD-B159-A043-8705-A2FB8B8EEAC8}"/>
    <hyperlink ref="A435" r:id="rId645" display="https://www.dropbox.com/scl/fi/kull1qjkpof6ajv0dsv6l/40367.pdf?rlkey=wf6g3zqbqllrp0036o2q3li8d&amp;dl=0" xr:uid="{F66DEFC0-409C-6847-B1FA-C1C4C29A8EDB}"/>
    <hyperlink ref="A436" r:id="rId646" display="https://www.dropbox.com/scl/fi/ky135wygrdn5e95708nnq/40369.pdf?rlkey=jwmh0ovrdilcgzumot7z0jtcn&amp;dl=0" xr:uid="{77065865-CAA6-AA42-8A68-F234E18B2EF4}"/>
    <hyperlink ref="A437" r:id="rId647" display="https://www.dropbox.com/scl/fi/48wvsbe5ln877ycjn4ijz/40370.pdf?rlkey=nt7ac5621bqwm21j0fmfvqfyz&amp;dl=0" xr:uid="{784FC8E1-4768-D442-9EEA-199C2D113D49}"/>
    <hyperlink ref="A438" r:id="rId648" display="https://www.dropbox.com/scl/fi/f8yirskyld8p9wfdpd0c9/40371.pdf?rlkey=8lbi38cjfjfksfmnhejmyvcf5&amp;dl=0" xr:uid="{F28ED0AF-1D8A-C748-82BC-B06747ADA3C3}"/>
    <hyperlink ref="A439" r:id="rId649" display="https://www.dropbox.com/scl/fi/h3p72faplsi7tunvz42sh/40372.pdf?rlkey=wkme4pa6x9mmvsxgy56dt7y9j&amp;dl=0" xr:uid="{CE4D7779-C07D-314A-8312-362D4D1E985F}"/>
    <hyperlink ref="A440" r:id="rId650" display="https://www.dropbox.com/scl/fi/jd6parz1dozuyy6yud9px/40373.pdf?rlkey=8fhhdmz5nz90ef14bqkd4mc5x&amp;dl=0" xr:uid="{7D35033D-70B8-0F49-A82F-451325924B46}"/>
    <hyperlink ref="A441" r:id="rId651" display="https://www.dropbox.com/scl/fi/e57h2d6zclw36iw7g81dk/40375.pdf?rlkey=cfxjkeiv3j3sd3ikbyi318vq1&amp;dl=0" xr:uid="{C76DD18F-409F-7E4B-A630-88027EF16A1E}"/>
    <hyperlink ref="A442" r:id="rId652" display="https://www.dropbox.com/scl/fi/oixyedykb8a41px5ke5gv/40376.pdf?rlkey=5arzw192y1p8fjlp2l1bn2pmd&amp;dl=0" xr:uid="{A1BE2B4F-F249-2149-8348-E5A6CF073A56}"/>
    <hyperlink ref="A443" r:id="rId653" display="https://www.dropbox.com/scl/fi/x9fxqi55sdaotwywdnyg1/40377.pdf?rlkey=oz052wkvq7rfunv6hdjtu8ymy&amp;dl=0" xr:uid="{82550845-6A1C-124B-9428-6B9555459836}"/>
    <hyperlink ref="A444" r:id="rId654" display="https://www.dropbox.com/scl/fi/ue4jdntgl37k22itjh7cr/40378.pdf?rlkey=0g1ih4n86i2yqv06zm5f4dni9&amp;dl=0" xr:uid="{1D90CB3D-71E4-0948-AD7B-D9EAA3978501}"/>
    <hyperlink ref="A445" r:id="rId655" display="https://www.dropbox.com/scl/fi/k8xjmreudber3zyx6oos5/40381.pdf?rlkey=tsxlll80eeik6ni9mbzs2tn71&amp;dl=0" xr:uid="{87FC885C-CCC3-034A-A283-641F2689DC74}"/>
    <hyperlink ref="A446" r:id="rId656" display="https://www.dropbox.com/scl/fi/xuh2pnngs65xxztl4no2x/40382.pdf?rlkey=12gcfj6to1n0w06hcz89h66g2&amp;dl=0" xr:uid="{B79167DD-6984-4247-AE0E-1994793149A4}"/>
    <hyperlink ref="A447" r:id="rId657" display="https://www.dropbox.com/scl/fi/p067af8ly1eguqep2oyio/40388.pdf?rlkey=us08oi3n696jui24y8uybn38o&amp;dl=0" xr:uid="{68EC7558-DF30-FC4E-9153-6DB102F4A860}"/>
    <hyperlink ref="A448" r:id="rId658" display="https://www.dropbox.com/scl/fi/sqomkaqpejfcxd70utyss/40390.pdf?rlkey=o1hcmn2vptb63mpxat3etkdn7&amp;dl=0" xr:uid="{F5D9B585-02B4-1143-9FCB-8E3E785B4016}"/>
    <hyperlink ref="A449" r:id="rId659" display="https://www.dropbox.com/scl/fi/7ykopwtt9dfx0bthrhwg8/40393.pdf?rlkey=md9ebtd56b2a12uxz0tw2qpjw&amp;dl=0" xr:uid="{6FF28C64-1D6B-E84D-9FDB-EB4BBA41DB2B}"/>
    <hyperlink ref="A450" r:id="rId660" display="https://www.dropbox.com/scl/fi/kgmto4cvl1t6d71hfzbrm/40395.pdf?rlkey=3qzzj5jkh4w63ehwzjsliilb2&amp;dl=0" xr:uid="{32BF7944-C8A3-AB44-837C-E14F28DA47A5}"/>
    <hyperlink ref="A451" r:id="rId661" display="https://www.dropbox.com/scl/fi/r84zb2yx45yzl4hpjo8bn/40399.pdf?rlkey=3csoto5z6fzd4tl19b1a9xstt&amp;dl=0" xr:uid="{C6A89844-27F8-9644-92F6-65D67C87577C}"/>
    <hyperlink ref="A452" r:id="rId662" display="https://www.dropbox.com/scl/fi/68fa56tcl9lgfm9au1c3w/40400.pdf?rlkey=dmugiq9mjygoh86l55rpnq2re&amp;dl=0" xr:uid="{E5053AAF-FEE3-3942-833A-0FFB793B3779}"/>
    <hyperlink ref="A453" r:id="rId663" display="https://www.dropbox.com/scl/fi/7xtda2o5ck29mvyg47tkd/40401.pdf?rlkey=9ewt8ublxj4rvx8gqhhh2h99n&amp;dl=0" xr:uid="{073208BC-A7CE-7C4A-861A-E4885D037356}"/>
    <hyperlink ref="A454" r:id="rId664" display="https://www.dropbox.com/scl/fi/98mc9vhameh4nvheihuus/40402.pdf?rlkey=a417hdrc3fpwnw2pzc4ncswcf&amp;dl=0" xr:uid="{ED1AADD0-6CB1-6440-87E1-F4CE52F9547C}"/>
    <hyperlink ref="A455" r:id="rId665" display="https://www.dropbox.com/scl/fi/81haqggf803uaw6ypv27f/40415.pdf?rlkey=ltx3po4vt1ogi81xpdvrur0sv&amp;dl=0" xr:uid="{39BFB622-E280-584B-967C-28190CB008D6}"/>
    <hyperlink ref="A456" r:id="rId666" display="https://www.dropbox.com/scl/fi/4eqczvfek08ds59xjtnww/40416.pdf?rlkey=kh664iwg6rbmu8tadydpvd67t&amp;dl=0" xr:uid="{15C065B2-0694-DF42-A12A-D6A6217C066B}"/>
    <hyperlink ref="A457" r:id="rId667" display="https://www.dropbox.com/scl/fi/4vc76bpygnjazzxrmbivn/40417.pdf?rlkey=ktw3x6btuc9tun5a1hh1qdouq&amp;dl=0" xr:uid="{7387B326-7065-FF4F-B1C1-8D95108BFB61}"/>
    <hyperlink ref="A458" r:id="rId668" display="https://www.dropbox.com/scl/fi/q3syqxal558rx8l4le8ev/40418.pdf?rlkey=75vefw5ezkmh9dx2hz1fnynih&amp;dl=0" xr:uid="{C42D64B4-D5EF-CB43-945A-9DC04FF241BD}"/>
    <hyperlink ref="A459" r:id="rId669" display="https://www.dropbox.com/scl/fi/j5vbr5wmntjadw9chjt0c/40419.pdf?rlkey=ucdhcqtgghar4hd1gutwtoei1&amp;dl=0" xr:uid="{D2ACEFA0-3A68-7D45-87FD-152F3F1E99E3}"/>
    <hyperlink ref="A460" r:id="rId670" display="https://www.dropbox.com/scl/fi/n0dnzp9td9xv25e591j2d/40420.pdf?rlkey=n4jlsjfrfic6qg4hufqqlotei&amp;dl=0" xr:uid="{9B6CC1B2-4D1F-5544-9A72-6EA2D7B6F5C6}"/>
    <hyperlink ref="A461" r:id="rId671" display="https://www.dropbox.com/scl/fi/lazi3n1cvtwhgrkko0nww/40421.pdf?rlkey=ux03l43s0bvy7c76p5oxmvuh5&amp;dl=0" xr:uid="{AA2538C4-F06A-E74A-BAF2-4FCCB6EC17FC}"/>
    <hyperlink ref="A462" r:id="rId672" display="https://www.dropbox.com/scl/fi/76ra95fv1mo32tm9rp67q/40422.pdf?rlkey=nkr0xebafjrj41yr6k2e5nzmn&amp;dl=0" xr:uid="{D8BE3FF7-A436-6C4D-A772-74357A08EAB8}"/>
    <hyperlink ref="A463" r:id="rId673" display="https://www.dropbox.com/scl/fi/3v2bd4lgj0dmzqxsq3mba/40423.pdf?rlkey=3wf1vbyfd3a0x960svvrh26sl&amp;dl=0" xr:uid="{81BF08BE-A6F7-2446-8C9D-F875D77B6B1E}"/>
    <hyperlink ref="A464" r:id="rId674" display="https://www.dropbox.com/scl/fi/koogu9ct2xn3ylebwhgs5/40424.pdf?rlkey=jw9noe576xicg6lo77yzxcka5&amp;dl=0" xr:uid="{FC1A35D3-8D11-C844-BDC9-7B9788E34B7A}"/>
    <hyperlink ref="A465" r:id="rId675" display="https://www.dropbox.com/scl/fi/3xp906fvfx2kh7w2ndl02/40425.pdf?rlkey=w0rlvb7wmvprce3c2gz48y4rf&amp;dl=0" xr:uid="{CF19D1B8-2774-6D4E-9C6A-84413ADA8D9F}"/>
    <hyperlink ref="A466" r:id="rId676" display="https://www.dropbox.com/scl/fi/iklroxj9hap7g3thrhxjv/40426.pdf?rlkey=se7w8ikvuryvl6lgn22gt910o&amp;dl=0" xr:uid="{80F3AC29-C927-8A4E-AD23-5FEC068A0256}"/>
    <hyperlink ref="A467" r:id="rId677" display="https://www.dropbox.com/scl/fi/a6ye44s3zbu32f2pu3vee/40427.pdf?rlkey=2q0wh4aspijla4fkgb9ppua8e&amp;dl=0" xr:uid="{CCFF846F-25EA-FF48-90F9-1888029F1857}"/>
    <hyperlink ref="A468" r:id="rId678" display="https://www.dropbox.com/scl/fi/ax25qwkvnmr3r2h6qp5oi/40428.pdf?rlkey=qx3mrga6gkxfgam6yt6agndx0&amp;dl=0" xr:uid="{6ACCD0C7-9C16-944F-875C-906964D29C83}"/>
    <hyperlink ref="A470" r:id="rId679" display="https://www.dropbox.com/scl/fi/dz63j5o0l1d2p7i54mzv1/40435.pdf?rlkey=fjbzad4yux7dsvhybmavvm7tb&amp;dl=0" xr:uid="{FC0F4708-5832-7E47-802C-E710072C18A5}"/>
    <hyperlink ref="A471" r:id="rId680" display="https://www.dropbox.com/scl/fi/83jhvfs1wehobpqxupyh8/40436.pdf?rlkey=3f8yb8v8v6id38jeg1p9w8yqa&amp;dl=0" xr:uid="{3D8330AA-CD96-DC43-8FF9-A7E8FBB9A5C2}"/>
    <hyperlink ref="A472" r:id="rId681" display="https://www.dropbox.com/scl/fi/lfu54sxeuults3d17en4j/40437.pdf?rlkey=rytdbeib4uc2kivnt6n5wrbff&amp;dl=0" xr:uid="{211FE893-402F-1F43-A5DF-168CB35B413E}"/>
    <hyperlink ref="A473" r:id="rId682" display="https://www.dropbox.com/scl/fi/5mddc83k260r7018jb3v0/40438.pdf?rlkey=53cgi0vcf4x3k4gwshf6w87cy&amp;dl=0" xr:uid="{A26F5763-8334-1642-8B44-EBCF5F03B7CC}"/>
    <hyperlink ref="A474" r:id="rId683" display="https://www.dropbox.com/scl/fi/toidgoduvh8uulkiwh42e/40439.pdf?rlkey=wl43myp90by2js491dnsdg5d7&amp;dl=0" xr:uid="{A6DA29AE-70DA-E547-A827-3E8D99FC6B92}"/>
    <hyperlink ref="A475" r:id="rId684" display="https://www.dropbox.com/scl/fi/3te2s2m3uezg148b3dt4f/40440.pdf?rlkey=k6vel2z9d4doll6auvru6h9h3&amp;dl=0" xr:uid="{9ED4D36D-A130-D548-B2D3-9E272DDAEE8E}"/>
    <hyperlink ref="A476" r:id="rId685" display="https://www.dropbox.com/scl/fi/8d5q1nnr3orxkwhu490o9/40441.pdf?rlkey=qa2ca7cdp5gdygjlhsz0vjdas&amp;dl=0" xr:uid="{C5B802CF-B5EB-3742-A5D6-68F74AA45C1E}"/>
    <hyperlink ref="A477" r:id="rId686" display="https://www.dropbox.com/scl/fi/e7gryz45puwyovsf0pl3h/40442.pdf?rlkey=qmmnpvteszor7wq023fj7n8pq&amp;dl=0" xr:uid="{63B6F5D4-31CB-0347-9485-539EBFFE5653}"/>
    <hyperlink ref="A478" r:id="rId687" display="https://www.dropbox.com/scl/fi/vr0winae510ug20m71lb0/40444.pdf?rlkey=zj0cnwgabf62527oplr08kxsa&amp;dl=0" xr:uid="{48B17A6D-55D7-BE46-827B-760ED71F0FEB}"/>
    <hyperlink ref="A479" r:id="rId688" display="https://www.dropbox.com/scl/fi/sacz0kgtfsb1qlj8pkvtb/40446.pdf?rlkey=ny48iu1x462kljefu1g8oxjni&amp;dl=0" xr:uid="{3377534C-D6EF-4748-9BBC-E359533023D2}"/>
    <hyperlink ref="A480" r:id="rId689" display="https://www.dropbox.com/scl/fi/lcnsxcrxfxn90cgfqviyr/40447.pdf?rlkey=4p4ubw08fmtu6spxzjp5i2kgt&amp;dl=0" xr:uid="{819307DE-7B7E-4C4D-A2E3-A9768EFC66EB}"/>
    <hyperlink ref="A481" r:id="rId690" display="https://www.dropbox.com/scl/fi/4gk6jpbk22vsdqt7w9i8v/40451.pdf?rlkey=uqfjui9qiv55rbqfwk8843kiz&amp;dl=0" xr:uid="{9C1A17FB-31B0-8245-9A5E-0CC12F5268E7}"/>
    <hyperlink ref="A482" r:id="rId691" display="https://www.dropbox.com/scl/fi/9cwew8msu33rhw6n23b0a/40452.pdf?rlkey=sjwtxew4r8ogmfu3xkqxoycab&amp;dl=0" xr:uid="{6CD79DFB-2933-0A41-A426-768C49C27C09}"/>
    <hyperlink ref="A483" r:id="rId692" display="https://www.dropbox.com/scl/fi/tp8kc0hnemq9rpf99ttdu/40454.pdf?rlkey=le4mltuu2s968gj8o3beomg2s&amp;dl=0" xr:uid="{BE408473-E177-A047-BCE8-C1E9D5E50748}"/>
    <hyperlink ref="A484" r:id="rId693" display="https://www.dropbox.com/scl/fi/81wnxdncrgg3x8xo688gv/40455.pdf?rlkey=u54k4ni33cebzc7awrcd3lk15&amp;dl=0" xr:uid="{53AA2DDE-DDBA-6747-B451-5D072D8EE6B3}"/>
    <hyperlink ref="A485" r:id="rId694" display="https://www.dropbox.com/scl/fi/udwzg69ra7wrezv9ax6ax/40456.pdf?rlkey=sv8dix1mszmf0tz5jmy9v53af&amp;dl=0" xr:uid="{1E1E9748-DE89-2E4E-A7AD-E6F8D2E1CCB7}"/>
    <hyperlink ref="A486" r:id="rId695" display="https://www.dropbox.com/scl/fi/gbfnkc4x8xn8ta23zur12/40457.pdf?rlkey=gi2rikjp6r36mm0dbnsss0l0x&amp;dl=0" xr:uid="{10428E23-419A-F04A-B374-394658FC05CC}"/>
    <hyperlink ref="A487" r:id="rId696" display="https://www.dropbox.com/scl/fi/9gkzmw3u78nyqftpgccg8/40458.pdf?rlkey=ur4jdtv44v1fyz08qtouz0wqq&amp;dl=0" xr:uid="{231E306D-CD03-524F-87FD-569F5281FBD0}"/>
    <hyperlink ref="A488" r:id="rId697" display="https://www.dropbox.com/scl/fi/2ghd5rc0cl3ac6pno8cxr/40459.pdf?rlkey=t0hhdfcaukjve9mrv8b312zyr&amp;dl=0" xr:uid="{83393B43-75B4-414E-85DF-12EB166922D8}"/>
    <hyperlink ref="A489" r:id="rId698" display="https://www.dropbox.com/scl/fi/uxw7srshqrrtmmi6lihhm/40464.pdf?rlkey=c7cglvkz9dku73zymmxq6rzvj&amp;dl=0" xr:uid="{16560273-099C-7340-816A-5C136E54D4F0}"/>
    <hyperlink ref="A490" r:id="rId699" display="https://www.dropbox.com/scl/fi/66swu9kv6f9gq4iaz1675/40465.pdf?rlkey=lmygp97bft2ndi9c82eksymbi&amp;dl=0" xr:uid="{06A88FF8-57B0-0D49-8A02-A4D591B053CE}"/>
    <hyperlink ref="A491" r:id="rId700" display="https://www.dropbox.com/scl/fi/5lc39ef6sc8zcrdrfm3fk/40466.pdf?rlkey=6k6ew35rxoklrgt1tho90u1oe&amp;dl=0" xr:uid="{461694AB-701B-CA46-A60E-C268AD4FF91C}"/>
    <hyperlink ref="A492" r:id="rId701" display="https://www.dropbox.com/scl/fi/efxwjqspuhdestyxy09ql/40467.pdf?rlkey=ybomzmf0lg4w346nbgpw1hn1e&amp;dl=0" xr:uid="{346BC7A7-C343-7E47-873E-9EFC63A55AAE}"/>
    <hyperlink ref="A493" r:id="rId702" display="https://www.dropbox.com/scl/fi/wcqjpvwvy75hfmhe4nlof/40470.pdf?rlkey=qmru3qlzrxipnfv00i22elfcb&amp;dl=0" xr:uid="{3E90BC6D-859D-7F44-BFBF-251E0C830C98}"/>
    <hyperlink ref="A494" r:id="rId703" display="https://www.dropbox.com/scl/fi/1ywayjl730ts65tz0egl4/40471.pdf?rlkey=5js96auzl2qbjtvjftey0ejoe&amp;dl=0" xr:uid="{C0E26768-0FA8-6B41-B200-D4039175BB34}"/>
    <hyperlink ref="A495" r:id="rId704" display="https://www.dropbox.com/scl/fi/t37u6kr2fe5b3ufxtzn0l/40472.pdf?rlkey=p71eszsu00t1ow8kfkgzwsoz1&amp;dl=0" xr:uid="{50F095A2-E163-F046-BEBB-247B5FBFB427}"/>
    <hyperlink ref="A496" r:id="rId705" display="https://www.dropbox.com/scl/fi/0agp0aoq5881v170war0i/40473.pdf?rlkey=7lp20e7dpru1nxr6i3hcxv1ys&amp;dl=0" xr:uid="{F7D412CB-D044-C043-831D-0C88847AC652}"/>
    <hyperlink ref="A497" r:id="rId706" display="https://www.dropbox.com/scl/fi/tyj65i4xsws0nnwrcjymh/40476.pdf?rlkey=hfurrtxyrullga71mw3l8qn8i&amp;dl=0" xr:uid="{5F2DC20B-B35A-9543-9AF9-54949CABD094}"/>
    <hyperlink ref="A498" r:id="rId707" display="https://www.dropbox.com/scl/fi/mttw4gipploss6gq78oar/40477.pdf?rlkey=enokdxtl04u5r60hyt4gvspyd&amp;dl=0" xr:uid="{5E28AE05-B76D-F842-804A-CB96A5B6B2D2}"/>
    <hyperlink ref="A499" r:id="rId708" display="https://www.dropbox.com/scl/fi/p8q2iowrx4gjxcw4lms8r/40478.pdf?rlkey=0jpajsjc4oz8e16l9s636vrix&amp;dl=0" xr:uid="{ABE80DE9-B246-AB4C-8A65-3DCB8709AA9D}"/>
    <hyperlink ref="A501" r:id="rId709" display="https://www.dropbox.com/scl/fi/ecc27lcmkarz0c9wn01v8/40481.pdf?rlkey=1a74ebn1usnss0ezvutohxp3r&amp;dl=0" xr:uid="{27E26A01-7E85-F54B-AC4A-15E4B65208EF}"/>
    <hyperlink ref="A502" r:id="rId710" display="https://www.dropbox.com/scl/fi/kgte9t0wuf2dabozhhauj/40482.pdf?rlkey=fljb5q1i5y1unqo2rp4bdc1kh&amp;dl=0" xr:uid="{4315A4DF-D128-9F43-9413-700CA33E60A3}"/>
    <hyperlink ref="A503" r:id="rId711" display="https://www.dropbox.com/scl/fi/zmyjla3tr0frvrgzicyty/40483.pdf?rlkey=tayc08egp9xvf84op3tcobhck&amp;dl=0" xr:uid="{F11B4EE0-DA60-C34F-BF22-85BD729EDE91}"/>
    <hyperlink ref="A504" r:id="rId712" display="https://www.dropbox.com/scl/fi/4bbz215ybkp1fip4fbrx8/40484.pdf?rlkey=l323w8kvc4423zq30ipkuh7br&amp;dl=0" xr:uid="{DB94F8BD-5F90-EA4D-A2FD-8DA714878499}"/>
    <hyperlink ref="A505" r:id="rId713" display="https://www.dropbox.com/scl/fi/ner8ljisdqknkvirr8c73/40485.pdf?rlkey=ivw1mh38q4089r4lq9792luns&amp;dl=0" xr:uid="{C69DD15B-5C83-E648-BADC-57C14AE39861}"/>
    <hyperlink ref="A506" r:id="rId714" display="https://www.dropbox.com/scl/fi/93m6u06kj50jgt9wd8hvx/40489.pdf?rlkey=xbhzyamvi31cw0o3vozz4m97k&amp;dl=0" xr:uid="{469E705A-762B-2A4A-B98E-3E5DC9C9A9CB}"/>
    <hyperlink ref="A507" r:id="rId715" display="https://www.dropbox.com/scl/fi/umkbttlra9t6nc44tzkmz/40490.pdf?rlkey=tzs9qs1husc3eqyv35dsfc6az&amp;dl=0" xr:uid="{A6CF472B-1EEA-D142-9D70-99D50E19E34B}"/>
    <hyperlink ref="A509" r:id="rId716" display="https://www.dropbox.com/scl/fi/ybhf028jipke1ukdnki4n/40492.pdf?rlkey=gryvqi691xg4etp4rnjnc71an&amp;dl=0" xr:uid="{4437BD0D-0C95-DA49-A97F-B38179BCC20D}"/>
    <hyperlink ref="A510" r:id="rId717" display="https://www.dropbox.com/scl/fi/kyv4vy2h7whcsrim801h4/40493.pdf?rlkey=r3vdwiwp54efy0tjar2zgrrmt&amp;dl=0" xr:uid="{90A04442-E138-CD4E-B9D1-B72DF1C7DC11}"/>
    <hyperlink ref="A511" r:id="rId718" display="https://www.dropbox.com/scl/fi/873ma3rcbqkzyvibcxp1w/40495.pdf?rlkey=1hesi11uxdzqoaoszz6m26tj8&amp;dl=0" xr:uid="{E71158E7-EA59-EB46-95DF-9FA50B395492}"/>
    <hyperlink ref="A512" r:id="rId719" display="https://www.dropbox.com/scl/fi/v9lauplmu5egvglzj3s8m/40498.pdf?rlkey=gz6iafrh1wml36lx37eecaot8&amp;dl=0" xr:uid="{136E2243-8A11-EF4E-96F7-158DA5B415C4}"/>
    <hyperlink ref="A513" r:id="rId720" display="https://www.dropbox.com/scl/fi/r56emb4dg3wwh1y3rgnwz/40501.pdf?rlkey=2kvqzube9uxagagmczxjs4khp&amp;dl=0" xr:uid="{191AD3D7-80C4-194B-B38A-3F54BC14A441}"/>
    <hyperlink ref="A514" r:id="rId721" display="https://www.dropbox.com/scl/fi/hhl2awjyz9cfcryd5lnfo/40502.pdf?rlkey=wllhwuq3qf7yayuhvlpzyssll&amp;dl=0" xr:uid="{1CF56E67-ED4E-1148-881B-AA1B13F1F508}"/>
    <hyperlink ref="A515" r:id="rId722" display="https://www.dropbox.com/scl/fi/g3oizvas5atl8si5h2jrk/40503.pdf?rlkey=q5che82tgkixgz5uz1j9jn94x&amp;dl=0" xr:uid="{AF176CD3-92AA-244B-9ED3-9FD70A8D4AE7}"/>
    <hyperlink ref="A516" r:id="rId723" display="https://www.dropbox.com/scl/fi/vcwls8cipu0ubtzohbrx4/40504.pdf?rlkey=5qbayk251aky70q5sdt2w6ucl&amp;dl=0" xr:uid="{500524EC-DF8C-184D-8E38-DAC4EC7D51B5}"/>
    <hyperlink ref="A517" r:id="rId724" display="https://www.dropbox.com/scl/fi/51urgzcpfflkiu8ht8t3x/40505.pdf?rlkey=zftqtfxqzhxwadipa863m808m&amp;dl=0" xr:uid="{DC06C960-4071-534B-A1AE-A34802F908C6}"/>
    <hyperlink ref="A518" r:id="rId725" display="https://www.dropbox.com/scl/fi/mnmvo0fnv1g1lgsjearys/40506.pdf?rlkey=uioajfa7vgexwa7ztx6n2oos4&amp;dl=0" xr:uid="{0A2F764A-6539-D641-85F7-6936A6BFF78F}"/>
    <hyperlink ref="A519" r:id="rId726" display="https://www.dropbox.com/scl/fi/v27c3euxqpy89imbetwp4/40507.pdf?rlkey=2hq34fhm2obsh61o45ryo2q7n&amp;dl=0" xr:uid="{F9025F5B-111C-2241-B391-A0C72F5480B2}"/>
    <hyperlink ref="A520" r:id="rId727" display="https://www.dropbox.com/scl/fi/bt9ao6efqg5lz9pzmakps/40508.pdf?rlkey=maqbaa8qevddokyrpjuwsgfx0&amp;dl=0" xr:uid="{C0ADC922-99B6-F643-8AD5-55326A7BEE32}"/>
    <hyperlink ref="A521" r:id="rId728" display="https://www.dropbox.com/scl/fi/sgppawxlydw5ewp9iy3ed/40509.pdf?rlkey=v9ay72hl478mx5krvubzq19h6&amp;dl=0" xr:uid="{E75361F0-0648-4D4C-967F-E27E167F61E2}"/>
    <hyperlink ref="A522" r:id="rId729" display="https://www.dropbox.com/scl/fi/k6w0k7vwukotkvme1u212/40510.pdf?rlkey=w392hncdjluxy7k77klzd2hry&amp;dl=0" xr:uid="{EAD8F60E-C589-964C-9065-D8EDF9E766E5}"/>
    <hyperlink ref="A523" r:id="rId730" display="https://www.dropbox.com/scl/fi/10anncupbs32zu21gmakx/40511.pdf?rlkey=axdp9x93tpyngswxzvwpsru8a&amp;dl=0" xr:uid="{57E47310-8673-B04F-B97E-96A8FD3A35C8}"/>
    <hyperlink ref="A524" r:id="rId731" display="https://www.dropbox.com/scl/fi/bjpb8dguc3ksirorrqrb6/40512.pdf?rlkey=rb5k1dkpki5gn2k2m15owdm2h&amp;dl=0" xr:uid="{C631721F-9DBB-A44D-9056-67CC4EFA73C2}"/>
    <hyperlink ref="A525" r:id="rId732" display="https://www.dropbox.com/scl/fi/20mldliv2lu5s1wp8x7kf/40513.pdf?rlkey=plxbn1uu8ep115t1wx4667qhv&amp;dl=0" xr:uid="{0872630C-9B6B-1D40-955B-068A55CEBBC1}"/>
    <hyperlink ref="A526" r:id="rId733" display="https://www.dropbox.com/scl/fi/b8m51cn6cmmjqx92t2rue/40514.pdf?rlkey=as90y4wzpkwi8h73j52ziq2vc&amp;dl=0" xr:uid="{D23500EA-A052-AB45-A0FC-DD00AA7BC54F}"/>
    <hyperlink ref="A527" r:id="rId734" display="https://www.dropbox.com/scl/fi/k18nfpcjop5xpfus2sg0g/40515.pdf?rlkey=ovzhswmjpxyvssnrtexgoydmk&amp;dl=0" xr:uid="{184A8F0D-437F-6F45-86DA-5C7E287022FF}"/>
    <hyperlink ref="A528" r:id="rId735" display="https://www.dropbox.com/scl/fi/cqu6h2eef3rubb7ybp8op/40516.pdf?rlkey=uqtmvdgr94deunjeg9bi36dii&amp;dl=0" xr:uid="{1BAB7A8E-AA0B-B64D-9F6A-827BD2A2EAAC}"/>
    <hyperlink ref="A529" r:id="rId736" display="https://www.dropbox.com/scl/fi/2oak1itpsakyfbs4dlsn6/40517.pdf?rlkey=rlm01l227vtqd0lxv2n3tjcbw&amp;dl=0" xr:uid="{42ED680F-4BA4-C24B-9CEF-40A9206A9EFA}"/>
    <hyperlink ref="A530" r:id="rId737" display="https://www.dropbox.com/scl/fi/pjditxx3ifsdwm5bgh534/40518.pdf?rlkey=f2ytdcxof1l715wbxn1p7kfd9&amp;dl=0" xr:uid="{FCC9D4E3-0C1F-8D4C-8742-E18CA06BDA35}"/>
    <hyperlink ref="A532" r:id="rId738" display="https://www.dropbox.com/scl/fi/ny0uy54y9mkc35563yd6s/40520.pdf?rlkey=vnxvrkxv0k460wfc2l6f09hm0&amp;dl=0" xr:uid="{3AD82CDF-68FF-064D-9143-E84CE92EA977}"/>
    <hyperlink ref="A533" r:id="rId739" display="https://www.dropbox.com/scl/fi/4u8y3g5is1km71hwi6wi3/40522.pdf?rlkey=phxj7y3kc0d88e6xlglwuw0a7&amp;dl=0" xr:uid="{BCA44FEA-FED7-DE4F-BADF-E49125579057}"/>
    <hyperlink ref="A534" r:id="rId740" display="https://www.dropbox.com/scl/fi/3vkzrqel0o3oinq8nq9hp/40523.pdf?rlkey=avtnl2be6sjjxfk9x3brs2984&amp;dl=0" xr:uid="{6A39EA49-BD53-0B49-BE95-AAC8CA8001FC}"/>
    <hyperlink ref="A535" r:id="rId741" display="https://www.dropbox.com/scl/fi/6j8k84zvixsdzm8dh6yan/40524.pdf?rlkey=q5ado22wdt74dawyyzwwatmj7&amp;dl=0" xr:uid="{58D63016-5EAB-C440-A3DA-AD298ACA964F}"/>
    <hyperlink ref="A536" r:id="rId742" display="https://www.dropbox.com/scl/fi/1rolqhworwxuacvep56eb/40525.pdf?rlkey=6tm31k73sj84t51fiu1wcyiq8&amp;dl=0" xr:uid="{8EE8296A-FBD8-004F-8198-B624116E3DD6}"/>
    <hyperlink ref="A537" r:id="rId743" display="https://www.dropbox.com/scl/fi/jdkn3rdmg689zrn0q8t59/40527.pdf?rlkey=bddqjpexd3ec56om17pc8ej1h&amp;dl=0" xr:uid="{01773054-2FBD-D749-A422-2860028137E2}"/>
    <hyperlink ref="A538" r:id="rId744" display="https://www.dropbox.com/scl/fi/zm17u2vqrsgx850jhi2v1/40532.pdf?rlkey=o3ovhqavasxdp6j7ga43f2ax3&amp;dl=0" xr:uid="{4B523336-D224-104A-BFF5-F891ABCED36A}"/>
    <hyperlink ref="A539" r:id="rId745" display="https://www.dropbox.com/scl/fi/3vmwvua0f0img3ccws15j/40534.pdf?rlkey=jnjtw3unyg7gbx9eig8g098nj&amp;dl=0" xr:uid="{CB0824A8-BF50-7B4F-8D2E-61BCC1205024}"/>
    <hyperlink ref="A540" r:id="rId746" display="https://www.dropbox.com/scl/fi/ywnilmjw06umejvbruvbz/40539.pdf?rlkey=xjqjy3s5qjydmzpmnfjnfrqyh&amp;dl=0" xr:uid="{5F403CCF-743F-844C-9DDC-E76D260E01EC}"/>
    <hyperlink ref="A541" r:id="rId747" display="https://www.dropbox.com/scl/fi/frlawie05y1fwebjvvgqf/40540.pdf?rlkey=mugbdzuncguoe8or7kbm8yhfm&amp;dl=0" xr:uid="{1CA1EE4F-77B2-8448-83F4-049B16B3A697}"/>
    <hyperlink ref="A542" r:id="rId748" display="https://www.dropbox.com/scl/fi/bilzekiu4jw11aqnf30ex/40541.pdf?rlkey=zljwtumf0lm8o52x8bt65x5gw&amp;dl=0" xr:uid="{EB71EFFE-E1F3-864A-ACD1-46E7A98B9B61}"/>
    <hyperlink ref="A543" r:id="rId749" display="https://www.dropbox.com/scl/fi/542vrjop9s48by6kzgwn3/40542.pdf?rlkey=zsrt4ouktn6cswxfw7edpbjmc&amp;dl=0" xr:uid="{7D9A4761-B010-C540-8D6F-E6BD4B39DDDB}"/>
    <hyperlink ref="A544" r:id="rId750" display="https://www.dropbox.com/scl/fi/ohbc8bkjsebw3bycbn6zp/40543.pdf?rlkey=875mu1wm6rf8ul92bu1w16pmy&amp;dl=0" xr:uid="{6FA0F1ED-4B3E-DC4C-A434-178EBEF6AD81}"/>
    <hyperlink ref="A545" r:id="rId751" display="https://www.dropbox.com/scl/fi/if0gzyngtj2lo7d1u0mmx/40544.pdf?rlkey=vsoknkwa7uya5fl34dpx2fksx&amp;dl=0" xr:uid="{E2F4CEB3-A489-A345-98F6-5CB8C69F5A39}"/>
    <hyperlink ref="A546" r:id="rId752" display="https://www.dropbox.com/scl/fi/qcxbla0lu8z6s1qa9wblq/40545.pdf?rlkey=8jxokb0ivoia8k3jxw7hk6wn2&amp;dl=0" xr:uid="{75B282A1-2060-144F-A6CA-E12AD602E279}"/>
    <hyperlink ref="A547" r:id="rId753" display="https://www.dropbox.com/scl/fi/2ulqr420jv9ujarw3xvd7/40546.pdf?rlkey=bpje71q0knzk7liz7946g6nrk&amp;dl=0" xr:uid="{764BC1C6-F677-0445-9750-8461192384E0}"/>
    <hyperlink ref="A548" r:id="rId754" display="https://www.dropbox.com/scl/fi/xg0jgsu4cy61hhjk3h515/40547.pdf?rlkey=bd0ctq63k9kmmci6q0y1ze5w1&amp;dl=0" xr:uid="{33BDAB3E-8451-044F-AAB5-C85EF640CDBF}"/>
    <hyperlink ref="A549" r:id="rId755" display="https://www.dropbox.com/scl/fi/0jvygexi0bixu8rtt33t6/40548.pdf?rlkey=l9aej3893pwoixkq9nckpjsss&amp;dl=0" xr:uid="{4CFFB4AF-FBE3-354D-A88C-460160D97DE9}"/>
    <hyperlink ref="A550" r:id="rId756" display="https://www.dropbox.com/scl/fi/1ycmyx81dqb7e0881m5zf/40549.pdf?rlkey=v7jdthew3coy2d174ih40rtu0&amp;dl=0" xr:uid="{74AA82C3-D5F5-8745-BF92-350449875490}"/>
    <hyperlink ref="A551" r:id="rId757" display="https://www.dropbox.com/scl/fi/lnw1bwgqfgrpm54nj52t3/40697.pdf?rlkey=pww3wd0vjpm4fmyyuasxm32i1&amp;dl=0" xr:uid="{C224AB21-13E1-2244-B020-9741C8A9F562}"/>
    <hyperlink ref="A552" r:id="rId758" display="https://www.dropbox.com/scl/fi/mvaigh3awagdnjp7wx3ra/40698.pdf?rlkey=7m9juxkbo5txleddtfcctwzpo&amp;dl=0" xr:uid="{25A76F28-5050-F249-8E2E-811F22EE6FBF}"/>
    <hyperlink ref="A553" r:id="rId759" display="https://www.dropbox.com/scl/fi/zm5jdtn9cghgraejingpk/40699.pdf?rlkey=olfge6nmux648yrt0n9oke0lm&amp;dl=0" xr:uid="{04E78365-D9F5-F946-A5E3-87010AE1EED3}"/>
    <hyperlink ref="A555" r:id="rId760" display="https://www.dropbox.com/scl/fi/7t8nouwmn7a9avu85v3u2/40703.pdf?rlkey=i2vb44pw9htuc42wvuzwtkuuc&amp;dl=0" xr:uid="{02845D0F-FD6D-7347-BA51-180D33E91DE4}"/>
    <hyperlink ref="A556" r:id="rId761" display="https://www.dropbox.com/scl/fi/2ahc93cox05t0lxthywdd/40704.pdf?rlkey=5l5hmg1azw38315mfbkoleq57&amp;dl=0" xr:uid="{BE3052CD-25A3-DC46-9720-7D5F60C5D1A0}"/>
    <hyperlink ref="A557" r:id="rId762" display="https://www.dropbox.com/scl/fi/gs9n7tgwegns9e9jireyz/40705.pdf?rlkey=uh26sl951iskwrvifo6h22vvl&amp;dl=0" xr:uid="{BFE348E4-F731-9A49-92AB-6DA4817B7A54}"/>
    <hyperlink ref="A558" r:id="rId763" display="https://www.dropbox.com/scl/fi/ew9xif02wy8ba3lyucy4n/40706.pdf?rlkey=ij99xg8gurltpjn91fcactq7l&amp;dl=0" xr:uid="{1F5A6F2B-BA46-A245-B151-3942140EB2A3}"/>
    <hyperlink ref="A559" r:id="rId764" display="https://www.dropbox.com/scl/fi/651t03j7fepe1qsyfp9gj/40707.pdf?rlkey=67wnjt30m5miloruh4k0enzau&amp;dl=0" xr:uid="{BA7A63F5-3863-B44A-A40A-989DD7D19F40}"/>
    <hyperlink ref="A560" r:id="rId765" display="https://www.dropbox.com/scl/fi/xex1beoxv8vdrchyiid23/40708.pdf?rlkey=nupilbz85s0bsbek1j2huc2u7&amp;dl=0" xr:uid="{1AA0402B-4299-E042-A47D-F72F779E6FA0}"/>
    <hyperlink ref="A561" r:id="rId766" display="https://www.dropbox.com/scl/fi/vf45g36382zeh8ecabni2/40710.pdf?rlkey=2n9tionzkazs7k8dib705gkec&amp;dl=0" xr:uid="{39B71E61-8AD0-4443-8C4A-460D46B6822A}"/>
    <hyperlink ref="A562" r:id="rId767" display="https://www.dropbox.com/scl/fi/3c7ip6fmnejvj222ixidg/40711.pdf?rlkey=em667sibdy48t0ni0hqhejf2k&amp;dl=0" xr:uid="{34150840-032F-6247-91C1-9B12C9548F82}"/>
    <hyperlink ref="A563" r:id="rId768" display="https://www.dropbox.com/scl/fi/mjedymtmholiiucmorozy/40712.pdf?rlkey=5663j6dams14amg2be4xi3s0s&amp;dl=0" xr:uid="{826B56D7-EC5C-3242-BB16-3A4B0BEEC324}"/>
    <hyperlink ref="A564" r:id="rId769" display="https://www.dropbox.com/scl/fi/fylqmbabkeroiulo7anxz/40713.pdf?rlkey=l0mify1re66vjw6dxn5yd5xv4&amp;dl=0" xr:uid="{64EF4063-AB02-CD4F-9DCB-F53B63EB8FB9}"/>
    <hyperlink ref="A565" r:id="rId770" display="https://www.dropbox.com/scl/fi/yrwmzgez7a29vlegfp59a/40715.pdf?rlkey=2f3pognn0a59jmgtb20gid5as&amp;dl=0" xr:uid="{CEB07659-CCB7-7640-B387-07C1C4D6F385}"/>
    <hyperlink ref="A566" r:id="rId771" display="https://www.dropbox.com/scl/fi/7ocrtwl6y8somng019rbp/40716.pdf?rlkey=88e0iupsqsslfoxbewqj3a88l&amp;dl=0" xr:uid="{2E29628F-B108-544F-BBB2-42D9BF2412A4}"/>
    <hyperlink ref="A567" r:id="rId772" display="https://www.dropbox.com/scl/fi/9i0zrtxnsv7vf5hasmbws/40718.pdf?rlkey=ibo1etpsbp25z0slg9teeovom&amp;dl=0" xr:uid="{8144E11B-CAE6-A84F-B60D-1D2DAF4CC991}"/>
    <hyperlink ref="A568" r:id="rId773" display="https://www.dropbox.com/scl/fi/1unuol00rka8qdih6vytc/40721.pdf?rlkey=p0eptj7f3jlui0nbm0bwgyzxk&amp;dl=0" xr:uid="{9EE73691-2522-CE4F-B9E0-69F682F6B1AB}"/>
    <hyperlink ref="A569" r:id="rId774" display="https://www.dropbox.com/scl/fi/pvfhgr1b321s9091geefk/40722.pdf?rlkey=vzgng4ug0e9zvbi431e3yu1l5&amp;dl=0" xr:uid="{D766545D-35B5-2147-9755-95B18EFE675E}"/>
    <hyperlink ref="A570" r:id="rId775" display="https://www.dropbox.com/scl/fi/f0scyz82p2b0igmrtqr5x/40723.pdf?rlkey=gx2e96bmx8rhvkkqo950kvl34&amp;dl=0" xr:uid="{6F0F6A64-9485-3146-9578-F7F8FD698C87}"/>
    <hyperlink ref="A571" r:id="rId776" display="https://www.dropbox.com/scl/fi/bwofxbjuhv1ezgqshrc6k/40724.pdf?rlkey=wlf9lc3ax7rty133ju9mbn0d6&amp;dl=0" xr:uid="{B6FA0A54-08CA-134F-A21A-E45085DA9B7D}"/>
    <hyperlink ref="A572" r:id="rId777" display="https://www.dropbox.com/scl/fi/saojx7ywowi8esf93srib/40727.pdf?rlkey=7dirsiolbqj3ienn1g3apj1s1&amp;dl=0" xr:uid="{7CA55C95-A24F-CA49-9FAF-2B6B55DEAED8}"/>
    <hyperlink ref="A573" r:id="rId778" display="https://www.dropbox.com/scl/fi/wxfa4x7orhe0rmwgwkunm/40728.pdf?rlkey=jwv6fziuxs1netriemd7mqbb3&amp;dl=0" xr:uid="{6AB5B8D5-DD5F-934F-96C6-D549B32FCE63}"/>
    <hyperlink ref="A574" r:id="rId779" display="https://www.dropbox.com/scl/fi/e63y48xva6gjh6fpfgrcx/40729.pdf?rlkey=nmi533uhynbh8ezp0abzvmekv&amp;dl=0" xr:uid="{C9D2625E-91EF-C14A-A222-52F1C5FDCE3B}"/>
    <hyperlink ref="A575" r:id="rId780" display="https://www.dropbox.com/scl/fi/z8s6ge8w7o5wjgwgv78ij/40734.pdf?rlkey=s2jvl20et6ik0i8jio9svq31q&amp;dl=0" xr:uid="{7CD1600E-300B-C34A-8AF2-85A60EE3FD68}"/>
    <hyperlink ref="A576" r:id="rId781" display="https://www.dropbox.com/scl/fi/30c2d4dhnbzvef6oetz3r/40735.pdf?rlkey=9srzb45e0o816dlk3p8bsrqsh&amp;dl=0" xr:uid="{9CF02317-E0A0-0049-928C-5B01C11BC992}"/>
    <hyperlink ref="A577" r:id="rId782" display="https://www.dropbox.com/scl/fi/20k4vdxgt1x42texgz9lz/40736.pdf?rlkey=wfftciitm3nmkapuv3pldvj22&amp;dl=0" xr:uid="{A070D0CD-56A7-384B-891D-75C57BDB32ED}"/>
    <hyperlink ref="A578" r:id="rId783" display="https://www.dropbox.com/scl/fi/4a2ot7amxbwmhzjjyvei0/40737.pdf?rlkey=02frh496ujuqsaufitz3a1zcp&amp;dl=0" xr:uid="{D1C79725-6E78-9F45-92C7-77ACA48BCA88}"/>
    <hyperlink ref="A579" r:id="rId784" display="https://www.dropbox.com/scl/fi/6dc4xzrhkq057h032f8sz/40738.pdf?rlkey=zh36e19v75j7rzxu4yh2yjs04&amp;dl=0" xr:uid="{AFEFB6F3-4C0E-2643-B7C5-BE2C4C4F3DD2}"/>
    <hyperlink ref="A580" r:id="rId785" display="https://www.dropbox.com/scl/fi/0bnibf6sh92djy9428shv/40739.pdf?rlkey=9qbj3x7k8ekz2oep7vjt9oeev&amp;dl=0" xr:uid="{527629C5-00F1-4044-BED8-AA86EE63592F}"/>
    <hyperlink ref="A581" r:id="rId786" display="https://www.dropbox.com/scl/fi/6tfip7jkoj5ujl8ucazgn/40740.pdf?rlkey=l5lig3aols80dq08mb8uf8dmd&amp;dl=0" xr:uid="{85F17C47-1559-1249-94A6-59E132E19A4C}"/>
    <hyperlink ref="A582" r:id="rId787" display="https://www.dropbox.com/scl/fi/t70dee7kk0fysw4n1kbzm/40741.pdf?rlkey=4h4wupze1v0j79a4gdvdf5oc0&amp;dl=0" xr:uid="{0A8BFF00-6CA7-4648-8094-5E0A791583F6}"/>
    <hyperlink ref="A583" r:id="rId788" display="https://www.dropbox.com/scl/fi/lyoy0vshst1uow11e2kv9/40742.pdf?rlkey=4n1wqiawaqyk8r0hoxial3wbm&amp;dl=0" xr:uid="{7385339C-9DBD-6049-84DA-A50D6A8EF7BA}"/>
    <hyperlink ref="A584" r:id="rId789" display="https://www.dropbox.com/scl/fi/p9ldvhqj1qgifpjfsbnh3/40743.pdf?rlkey=2t397b4vxbhnmhqjczsk8pl66&amp;dl=0" xr:uid="{667494E2-5349-6240-924D-AB522A3E9297}"/>
    <hyperlink ref="A585" r:id="rId790" display="https://www.dropbox.com/scl/fi/5uifyooacrz5h27d1r0el/40744.pdf?rlkey=53k2ny3re7hzyis9yrxusshdl&amp;dl=0" xr:uid="{5F0726F5-BD90-8F43-9C8D-32D7159289E4}"/>
    <hyperlink ref="A586" r:id="rId791" display="https://www.dropbox.com/scl/fi/8u8zvsgdk1o8gmkrdnkdo/40745.pdf?rlkey=l1ew98eoqmj5989xauwoyi9g7&amp;dl=0" xr:uid="{99D7F4DA-D30B-1D47-AE49-C6FC7EC1ADCD}"/>
    <hyperlink ref="A587" r:id="rId792" display="https://www.dropbox.com/scl/fi/sppjyodcabsai4qgpcxjj/40746.pdf?rlkey=uyfa1q0jtm028polgs3z8zrln&amp;dl=0" xr:uid="{2C76B960-E83F-DD47-BD2A-BFD61207EF92}"/>
    <hyperlink ref="A588" r:id="rId793" display="https://www.dropbox.com/scl/fi/6t94le5inxbhvsbuw9s9k/40747.pdf?rlkey=9490s4mhnecqlqc8nujptlqhy&amp;dl=0" xr:uid="{4CEC8382-637E-F24A-AA66-F93CB622013F}"/>
    <hyperlink ref="A589" r:id="rId794" display="https://www.dropbox.com/scl/fi/9lecsprn0i4ncp48ey0ar/40748.pdf?rlkey=orpspobn2dp5d19aq46xh4kl3&amp;dl=0" xr:uid="{8A3877AC-1515-5447-9438-D36A32397946}"/>
    <hyperlink ref="A590" r:id="rId795" display="https://www.dropbox.com/scl/fi/ec0vjfws3kjcqm4vdwr3g/40749.pdf?rlkey=a9doezlmfk0oq3hjo1uf46009&amp;dl=0" xr:uid="{A76776B8-009D-9F41-B209-0357ECE45D24}"/>
    <hyperlink ref="A591" r:id="rId796" display="https://www.dropbox.com/scl/fi/72klih5fmx4ht6rytaqob/40752.pdf?rlkey=dzchq1dkli8wb6ujtbuf4u6pj&amp;dl=0" xr:uid="{59A6FF54-5E63-DF4B-865F-B57A8CCB7475}"/>
    <hyperlink ref="A592" r:id="rId797" display="https://www.dropbox.com/scl/fi/03iayr9p7eiyjre9u3w5o/40753.pdf?rlkey=z08b58gc74refzmf63qw7zqt4&amp;dl=0" xr:uid="{5991E9B0-6E81-334B-820D-D189F63408FE}"/>
    <hyperlink ref="A593" r:id="rId798" display="https://www.dropbox.com/scl/fi/i2nekr98nzp6nx0qbd7ll/40754.pdf?rlkey=bo51bw6x2qywurh9018vgetin&amp;dl=0" xr:uid="{C536C721-E460-0044-B69A-C620952EE16A}"/>
    <hyperlink ref="A595" r:id="rId799" display="https://www.dropbox.com/scl/fi/i4e0aapodclbaiqff2ey4/40756.pdf?rlkey=4jto8g0fkbnpvrtoa31utomtf&amp;dl=0" xr:uid="{606C1428-8FD2-9D48-A6E6-39ACB2AEE7D7}"/>
    <hyperlink ref="A596" r:id="rId800" display="https://www.dropbox.com/scl/fi/o684i0zbsosd5psbvd7qj/40757.pdf?rlkey=t9q4l60v6tvyjunaggt7b2xlb&amp;dl=0" xr:uid="{2EF78702-A43C-F54C-9AD8-42DAA12D6B79}"/>
    <hyperlink ref="A597" r:id="rId801" display="https://www.dropbox.com/scl/fi/utj77ae5sdtisv6o6eoqe/40758.pdf?rlkey=9jy0d4w4rovbucl706unqylpi&amp;dl=0" xr:uid="{961090B8-6ADA-224B-B2B4-2835261CAFD5}"/>
    <hyperlink ref="A854" r:id="rId802" display="https://www.dropbox.com/scl/fi/vdymetlvlv7u60ev06skw/70714.pdf?rlkey=hyfu8tmso48roy7tiznhkuip2&amp;dl=0" xr:uid="{641421FA-4342-7744-8F3A-AAFFC7B554D8}"/>
    <hyperlink ref="A599" r:id="rId803" display="https://www.dropbox.com/scl/fi/fjrwxgltmogukb2z3uuus/40766.pdf?rlkey=9zk85ritr57mfoh1i8jzljhys&amp;dl=0" xr:uid="{CE4AB140-1619-FC4E-8152-909BCFE8F6F2}"/>
    <hyperlink ref="A601" r:id="rId804" display="https://www.dropbox.com/scl/fi/io8bx5b1bpy6xbcjrlxdn/40772.pdf?rlkey=bztegatrk55kpst628p7mg491&amp;dl=0" xr:uid="{4F2FA837-9930-FA49-8306-D7B1866089A9}"/>
    <hyperlink ref="A602" r:id="rId805" display="https://www.dropbox.com/scl/fi/1895pmabfkyl0sa3g7qq4/40773.pdf?rlkey=i0a9wiiszzgsa162sdvu4m3mj&amp;dl=0" xr:uid="{AE0D6641-42A1-944E-8689-D09273ED7BA6}"/>
    <hyperlink ref="A603" r:id="rId806" display="https://www.dropbox.com/scl/fi/xo9ybnxuyrcrs0a2aemew/40780.pdf?rlkey=qfiia79f57md45073d3uc3u5h&amp;dl=0" xr:uid="{741F4727-518E-6340-BBCA-4EE102A329B5}"/>
    <hyperlink ref="A604" r:id="rId807" display="https://www.dropbox.com/scl/fi/h20xzh2efc9oby6oqmvo4/40782.pdf?rlkey=ncexod8ud2s4jllmcmtyrd1j7&amp;dl=0" xr:uid="{401F85AB-D96B-074E-B44F-736509BA1F36}"/>
    <hyperlink ref="A605" r:id="rId808" display="https://www.dropbox.com/scl/fi/gsi5mde42k7xp6xa5b6ja/40783.pdf?rlkey=hps535zk5b1mfuk787pb9rcf2&amp;dl=0" xr:uid="{EEAF5422-BE88-D049-B895-3D2C93D3B4A3}"/>
    <hyperlink ref="A606" r:id="rId809" display="https://www.dropbox.com/scl/fi/d6m1vrr70y6h9b3bku0y7/40784.pdf?rlkey=4115v0c7vmezo109ct1faxeow&amp;dl=0" xr:uid="{8CB410F1-6694-234C-9BAE-4449E4355775}"/>
    <hyperlink ref="A607" r:id="rId810" display="https://www.dropbox.com/scl/fi/hzt8htveh1lxw7j30b57i/40786.pdf?rlkey=q2jb8y3takr9ygsbdwe6pwl6o&amp;dl=0" xr:uid="{07B09EE9-2F01-8C48-B762-E0522E128D16}"/>
    <hyperlink ref="A608" r:id="rId811" display="https://www.dropbox.com/scl/fi/swivhfl6ma0j1cjmiyp6m/40788.pdf?rlkey=3mcil61zix93wt7umffs47xbx&amp;dl=0" xr:uid="{A0DCDC43-49FE-3F47-8A5D-618784309057}"/>
    <hyperlink ref="A609" r:id="rId812" display="https://www.dropbox.com/scl/fi/0mhj85v48lzyugm9moh9w/40790.pdf?rlkey=6oyovdftcqfbuwy80lx576sdk&amp;dl=0" xr:uid="{DF1B96A9-FD45-B942-9D57-D0D9AB62F05C}"/>
    <hyperlink ref="A610" r:id="rId813" display="https://www.dropbox.com/scl/fi/adcgsbg3d0rqsvdulzn2r/40791.pdf?rlkey=5fsshmczw7vsr3id966rpqxju&amp;dl=0" xr:uid="{74B5FC79-25DA-504D-846A-16BD538D737C}"/>
    <hyperlink ref="A611" r:id="rId814" display="https://www.dropbox.com/scl/fi/o2doqojdq0ry240s8z3m9/40795.pdf?rlkey=jocjaz594ei9kk4ssdi8ii7tq&amp;dl=0" xr:uid="{716033DD-3BB5-E044-9D19-C8E8206DF3D2}"/>
    <hyperlink ref="A612" r:id="rId815" display="https://www.dropbox.com/scl/fi/m6pihbr0p4qmkrn9k9q9k/40796.pdf?rlkey=gmnez4g45s9031qldq6lw1pep&amp;dl=0" xr:uid="{6F380C28-D868-A54A-8F7C-3FD9B3070152}"/>
    <hyperlink ref="A613" r:id="rId816" display="https://www.dropbox.com/scl/fi/urm5xvsydyqe68mmkde6k/40797.pdf?rlkey=758glj0d9esmdfrz8xv54yemb&amp;dl=0" xr:uid="{15A529A4-601B-3847-A865-2025A3048CD0}"/>
    <hyperlink ref="A614" r:id="rId817" display="https://www.dropbox.com/scl/fi/51ney538it9hjyvh2q16h/40798.pdf?rlkey=ld70f50rwixeljmfu5bf5b8op&amp;dl=0" xr:uid="{0B4B2098-472B-5245-8C6F-443C904FE9AA}"/>
    <hyperlink ref="A615" r:id="rId818" display="https://www.dropbox.com/scl/fi/vjc5kg0e42owzz950mz7h/40832.pdf?rlkey=iqyvxc32649gg6hv7qccf6dtp&amp;dl=0" xr:uid="{F32B0F48-738A-DB4F-9A41-C4EEE093979C}"/>
    <hyperlink ref="A616" r:id="rId819" display="https://www.dropbox.com/scl/fi/aw2ldfui5rrhm61ax6oku/40833.pdf?rlkey=nhl6l1mpqwir133wocgevf9lk&amp;dl=0" xr:uid="{24053229-253F-E34D-A939-BF35617CCDA8}"/>
    <hyperlink ref="A617" r:id="rId820" display="https://www.dropbox.com/scl/fi/zhrto49yi71ejz50bl5g0/40834.pdf?rlkey=3bgv9prkdp6yujyty9g61ugfh&amp;dl=0" xr:uid="{BD479BB7-2106-324C-AFE7-10EE3530CB24}"/>
    <hyperlink ref="A618" r:id="rId821" display="https://www.dropbox.com/scl/fi/3sat4b8bzpm7v1jredo2t/40836.pdf?rlkey=ggxzywqkjjautdnnm7ae8d93s&amp;dl=0" xr:uid="{735AA46F-5DDB-2A41-9061-9D67352C8AB1}"/>
    <hyperlink ref="A619" r:id="rId822" display="https://www.dropbox.com/scl/fi/3sxq537dqu9upeoe114q7/40838.pdf?rlkey=zn9c3y0v12bhm5rzs94piq5cp&amp;dl=0" xr:uid="{901C6209-F1C6-A045-9678-B9D8BCDDEF0B}"/>
    <hyperlink ref="A620" r:id="rId823" display="https://www.dropbox.com/scl/fi/eeywbhxc47fknh10485tn/40857.pdf?rlkey=dnrxm9afg1hsuf6qo3ho37mn1&amp;dl=0" xr:uid="{AC81FA15-4A51-AF42-A8BD-CEDAD75C298A}"/>
    <hyperlink ref="A621" r:id="rId824" display="https://www.dropbox.com/scl/fi/uwoh0jrx4gg5rrkly1ep8/40861.pdf?rlkey=3e43q9kc5c98a8ujf16dltcmu&amp;dl=0" xr:uid="{32D13DAD-C031-AA48-B40F-F2BEA335BE67}"/>
    <hyperlink ref="A622" r:id="rId825" display="https://www.dropbox.com/scl/fi/g9ig857scdvmqeevvexge/40862.pdf?rlkey=94babq54d6upoosdh942qsktp&amp;dl=0" xr:uid="{8B5ACFAC-2C42-874F-B682-4FBFDB865B8D}"/>
    <hyperlink ref="A623" r:id="rId826" display="https://www.dropbox.com/scl/fi/onwj5k0ye1jnrskreoj23/40865.pdf?rlkey=ho2fzrer9w1o5adlg0a4sap45&amp;dl=0" xr:uid="{7C93A321-F944-AF41-ACC9-0B0B2BDC508C}"/>
    <hyperlink ref="A624" r:id="rId827" display="https://www.dropbox.com/scl/fi/4cfl4sa01799wrvd23l56/40869.pdf?rlkey=hnb1v7oa6u8yqzm6u1p2wisy1&amp;dl=0" xr:uid="{9999771B-454C-764F-A119-45248923E938}"/>
    <hyperlink ref="A625" r:id="rId828" display="https://www.dropbox.com/scl/fi/7x4iq3yv4vl28o84oqyd2/40870.pdf?rlkey=7psje71e86zotrhzvs7ahclvy&amp;dl=0" xr:uid="{BC1B1C5D-398C-7042-A3A4-CB660F9A287E}"/>
    <hyperlink ref="A626" r:id="rId829" display="https://www.dropbox.com/scl/fi/yjexq8lzjsiheo7z9ijng/40871.pdf?rlkey=3vaka0svv98uj7pahofhvob5d&amp;dl=0" xr:uid="{5F6C3F62-11AA-5045-AE91-7DE8E81309C4}"/>
    <hyperlink ref="A627" r:id="rId830" display="https://www.dropbox.com/scl/fi/xx2aa99dyvmsfbq7z5ahv/40872.pdf?rlkey=kp71kxjhoeik5z6pedpz8ammq&amp;dl=0" xr:uid="{0D7A97D4-49C9-F840-8264-F39BD231B7D2}"/>
    <hyperlink ref="A628" r:id="rId831" display="https://www.dropbox.com/scl/fi/adr9al3medp158g76ikt8/40873.pdf?rlkey=5sxdl6g656wp1v5wanownoffa&amp;dl=0" xr:uid="{4AC2BCC1-E3B8-9A46-823B-5322749EC0C5}"/>
    <hyperlink ref="A629" r:id="rId832" display="https://www.dropbox.com/scl/fi/shzp3wzsxenng169ss9zx/40874.pdf?rlkey=dl5h01uhgwv7swb1axkxvmzke&amp;dl=0" xr:uid="{7631236E-5641-254D-959B-1BBC7367D321}"/>
    <hyperlink ref="A630" r:id="rId833" display="https://www.dropbox.com/scl/fi/u10xekjsyl7q2disrb4e2/40886.pdf?rlkey=v491h5b28v0rq4goqz6anow1m&amp;dl=0" xr:uid="{34207515-A3D4-3F42-B54D-AFCB05C110D5}"/>
    <hyperlink ref="A631" r:id="rId834" display="https://www.dropbox.com/scl/fi/4tzpfwdv0ev8ngo87y0pb/40898.pdf?rlkey=yvqcgnow1umcvj7mmvcxk5e21&amp;dl=0" xr:uid="{3AE87A05-4DB9-A040-8E84-86CDD4340CE5}"/>
    <hyperlink ref="A632" r:id="rId835" display="https://www.dropbox.com/scl/fi/uu7hy3qnhk1ybud4etrd7/40901.pdf?rlkey=acz9bggr7p7vke2k1p195utpa&amp;dl=0" xr:uid="{4B02B16E-7A29-5E4B-B9F5-3CA85D725AD8}"/>
    <hyperlink ref="A633" r:id="rId836" display="https://www.dropbox.com/scl/fi/6kwexumrf4zgmbt2innn9/40906.pdf?rlkey=xqq4wmwmowgrgnwgg4bk3woiw&amp;dl=0" xr:uid="{937F52B9-760E-A84C-A125-79218C31A9D7}"/>
    <hyperlink ref="A638" r:id="rId837" display="https://www.dropbox.com/scl/fi/qd40mzek4r6m3v0lopen7/40916.pdf?rlkey=cdn0a1kcbou4asxj2rwvv9nrb&amp;dl=0" xr:uid="{1713010C-A0A8-9A4D-981A-50607C9BDFA5}"/>
    <hyperlink ref="A640" r:id="rId838" display="https://www.dropbox.com/scl/fi/l4v1jdzjkmez5x798bahf/40927.pdf?rlkey=x8qbkg4dbi785lyy5vm4z8c3u&amp;dl=0" xr:uid="{890323A5-80AD-7F40-97A7-CD5F0E112FD0}"/>
    <hyperlink ref="A641" r:id="rId839" display="https://www.dropbox.com/scl/fi/qxa1zyhqb938ktspexpjz/40928.pdf?rlkey=cp2z4q3perrbfecv9rj08k2do&amp;dl=0" xr:uid="{4419E61D-097C-B740-9541-FBBF8BF813DD}"/>
    <hyperlink ref="A642" r:id="rId840" display="https://www.dropbox.com/scl/fi/0af9bj3b3c3ux8zehsnhe/40931.pdf?rlkey=0w29zoqnm1s0ah9llvujy2xmf&amp;dl=0" xr:uid="{72FE4CDC-9E78-8049-9FC8-C129D3CC5A6C}"/>
    <hyperlink ref="A643" r:id="rId841" display="https://www.dropbox.com/scl/fi/ezjtuueczgvrg7u7zlu6n/40932.pdf?rlkey=14o1r7d03yu7glewmf57loare&amp;dl=0" xr:uid="{CC1C24C7-B54E-AA48-84C0-C0A19E8277B0}"/>
    <hyperlink ref="A644" r:id="rId842" display="https://www.dropbox.com/scl/fi/70r12n1imlg5o5js3grs2/40933.pdf?rlkey=bxsqptwh127bx0vo4gfirdupm&amp;dl=0" xr:uid="{F5903EFD-442F-4F47-9E2A-402A1A6B6D4B}"/>
    <hyperlink ref="A645" r:id="rId843" display="https://www.dropbox.com/scl/fi/2bqjto0u4udhvz1nrgibs/40934.pdf?rlkey=42xa2szrcikig4k1vqf6y60jd&amp;dl=0" xr:uid="{A91FF65C-9AEC-464C-BB23-1919E3F84D2E}"/>
    <hyperlink ref="A646" r:id="rId844" display="https://www.dropbox.com/scl/fi/ocmmcc8jyyu6zrc1i9tdb/40942.pdf?rlkey=rpog7ai4iwb4mn6z3mtx4elxw&amp;dl=0" xr:uid="{4960C668-08D0-F74D-9452-9B7727E3F784}"/>
    <hyperlink ref="A648" r:id="rId845" display="https://www.dropbox.com/scl/fi/68526v9d50365tal0enxg/40957.pdf?rlkey=0uytgsqz4egau10xdxcupxp5r&amp;dl=0" xr:uid="{A90CEB7A-B112-C742-B1E6-15146FA77905}"/>
    <hyperlink ref="A650" r:id="rId846" display="https://www.dropbox.com/scl/fi/6f2qan9e5ppggsrj7jsk2/40960.pdf?rlkey=6s1jlvrv5667cgklpunriyaq4&amp;dl=0" xr:uid="{2D975F7A-78F7-474C-A8B8-552569941F2B}"/>
    <hyperlink ref="A651" r:id="rId847" display="https://www.dropbox.com/scl/fi/iffrhy04zf39ckiwk2y31/40961.pdf?rlkey=nl761pzzr27g6ok0f04jqfm4y&amp;dl=0" xr:uid="{88A4CF92-7237-B648-983C-C0F993D9048B}"/>
    <hyperlink ref="A652" r:id="rId848" display="https://www.dropbox.com/scl/fi/7983dkz1uahx4ll8fanpk/40962.pdf?rlkey=fvjsua9ube5i2urw9ssya36xc&amp;dl=0" xr:uid="{FDF8894B-6FD6-6049-A6AA-2B3C42CA72CA}"/>
    <hyperlink ref="A657" r:id="rId849" display="https://www.dropbox.com/scl/fi/1lov0sncagcbqkgyggb8g/40976.pdf?rlkey=1nwpac9p2mddd0d6tnwnb1cea&amp;dl=0" xr:uid="{025AD809-8C90-7943-877A-FD5B73AB1F18}"/>
    <hyperlink ref="A674" r:id="rId850" display="https://www.dropbox.com/scl/fi/fplixii7xmq0ts1inc9j2/41017.pdf?rlkey=r4us6unf2qrdu50bsl8kc6dcy&amp;dl=0" xr:uid="{2348932C-A8A9-E548-86CC-7AFBE951AE38}"/>
    <hyperlink ref="A685" r:id="rId851" display="https://www.dropbox.com/scl/fi/wyqx7dyexu6gggw1evqrs/41044.pdf?rlkey=hkqoor1eiuclyhni8joannf47&amp;dl=0" xr:uid="{E0EA18F8-2CDF-2049-9DC7-B1AC58E0088F}"/>
    <hyperlink ref="A855" r:id="rId852" display="https://www.dropbox.com/scl/fi/tbz586h7fe9amz7u4hii4/41390.pdf?rlkey=xwp7v88kmklzbdhgw93alll06&amp;dl=0" xr:uid="{8AE46175-EFF9-7140-85C2-E013468CEA4C}"/>
    <hyperlink ref="A856" r:id="rId853" display="https://www.dropbox.com/scl/fi/gypn0wznkctm4jnwo87i4/41392.pdf?rlkey=v44lrcyy0dw8j2ikd1f3co5fn&amp;dl=0" xr:uid="{84FBDBC9-C294-9E4C-80A5-DA25094386C8}"/>
    <hyperlink ref="A857" r:id="rId854" display="https://www.dropbox.com/scl/fi/q8p184xpfw6uxldc9do3s/41393.pdf?rlkey=b4wlyjznbajqui7ujsnodotne&amp;dl=0" xr:uid="{FC86F762-3D74-BC4C-B5A7-D70AA12EBD1F}"/>
    <hyperlink ref="A858" r:id="rId855" display="https://www.dropbox.com/scl/fi/gaphxoa9wdkvxvzvjh3ug/41394.pdf?rlkey=sqd0iong48lgxu335df4h8004&amp;dl=0" xr:uid="{67BABD28-7BC0-6C4E-BB0E-5306FC58A035}"/>
    <hyperlink ref="A859" r:id="rId856" display="https://www.dropbox.com/scl/fi/ay5teofcklqngdtx8jl42/41395.pdf?rlkey=au1q9wr0canrc5wwvktqvuh30&amp;dl=0" xr:uid="{888172DE-C107-7543-8093-77DBF9E18D2D}"/>
    <hyperlink ref="A860" r:id="rId857" display="https://www.dropbox.com/scl/fi/ynpf92ax6hrhjsn0lkysk/41396.pdf?rlkey=m1fs8s30emf0un8wz35ei3j45&amp;dl=0" xr:uid="{727A2A06-7B7E-C24D-A3B5-E692AF17B2C1}"/>
    <hyperlink ref="A861" r:id="rId858" display="https://www.dropbox.com/scl/fi/0qindq9sr696jsfdde295/41397.pdf?rlkey=ps1xzkossa3frab331zdi7f0g&amp;dl=0" xr:uid="{51414921-11CA-2041-808C-4599BA84EFA2}"/>
    <hyperlink ref="A862" r:id="rId859" display="https://www.dropbox.com/scl/fi/52tn9krd10kcpwzde8g81/41398.pdf?rlkey=vobxctd3z0ts07xbghcjmtl2x&amp;dl=0" xr:uid="{8E75DE3D-7ECA-AE42-BFB8-76CA8191853C}"/>
    <hyperlink ref="A863" r:id="rId860" display="https://www.dropbox.com/scl/fi/34lw3bna86rz9epew6thg/41400.pdf?rlkey=1b943gzb78eqlgv201vziivxt&amp;dl=0" xr:uid="{3245752F-C4D2-0440-BD6D-A243FCD957FE}"/>
    <hyperlink ref="A864" r:id="rId861" display="https://www.dropbox.com/scl/fi/neiidlyo5ukt85t6su1bx/41401.pdf?rlkey=29zufdv3hp0s8za0twf5cnaif&amp;dl=0" xr:uid="{0D354F01-3C44-2749-946A-CCFD811F3BC4}"/>
    <hyperlink ref="A865" r:id="rId862" display="https://www.dropbox.com/scl/fi/i5egmtj3shd6g7av4i2bc/41402.pdf?rlkey=dgfmndjv77bx8nieykgqsycfk&amp;dl=0" xr:uid="{65680D61-FD8E-944D-960C-AEB44AEC788E}"/>
    <hyperlink ref="A866" r:id="rId863" display="https://www.dropbox.com/scl/fi/693jcl6rtgvzo0i1zvuua/41404.pdf?rlkey=ndkk1p9qp5j9xw2qjiiukkrjc&amp;dl=0" xr:uid="{4524FCEC-296B-2F41-9F90-AFB3EFE9C640}"/>
    <hyperlink ref="A867" r:id="rId864" display="https://www.dropbox.com/scl/fi/i3fsp47f4sb5hxrlddn2o/41405.pdf?rlkey=hsvbb6wv0v4zqozj4sqx2cm07&amp;dl=0" xr:uid="{49F4ADDA-AEA0-3E40-8378-B919B8A07CF2}"/>
    <hyperlink ref="A868" r:id="rId865" display="https://www.dropbox.com/scl/fi/mexypevfdlmkwpjecam01/41406.pdf?rlkey=6gs2z3i16sl58nbu7hag2ogvx&amp;dl=0" xr:uid="{FA3087CA-786E-E847-9680-B1FADA57586C}"/>
    <hyperlink ref="A869" r:id="rId866" display="https://www.dropbox.com/scl/fi/ku29cajrgvz4k2m6uwz05/41407.pdf?rlkey=a2d7ybppmz3z9z6xed7h9u30b&amp;dl=0" xr:uid="{2FF505EA-7458-F24D-BC2F-2E3E5DADD704}"/>
    <hyperlink ref="A870" r:id="rId867" display="https://www.dropbox.com/scl/fi/7vflwpa5ivri2prfuqneu/41408.pdf?rlkey=zm9ercj5q913kz8xwcp7yif7x&amp;dl=0" xr:uid="{240453F3-F798-C443-9B9E-D7BF48D1AFA6}"/>
    <hyperlink ref="A871" r:id="rId868" display="https://www.dropbox.com/scl/fi/6ymvyho1vktjpjsex9hao/41409.pdf?rlkey=3pgezxy1knb204igooquh3kx5&amp;dl=0" xr:uid="{0AE956BB-6D8F-4C46-BBF2-86245310F373}"/>
    <hyperlink ref="A872" r:id="rId869" display="https://www.dropbox.com/scl/fi/toe8euy9hwwd0olwkd8o6/41416-copy.pdf?rlkey=zeqkfc0nnoxusj3mvq05rqrpp&amp;dl=0" xr:uid="{8DE869F4-904C-CA44-B7EF-47D4E0646E7D}"/>
    <hyperlink ref="A873" r:id="rId870" display="https://www.dropbox.com/scl/fi/fsk8jy57osz16zp9ke3f2/41417.pdf?rlkey=dajlnsgko1oo3dbl3t3g7sb1d&amp;dl=0" xr:uid="{38369339-AE00-A644-9993-A493699B7057}"/>
    <hyperlink ref="A874" r:id="rId871" display="https://www.dropbox.com/scl/fi/9ou8qsy6a0zp1smq2ylbv/41418.pdf?rlkey=04py4gwoar8vtc40c7prhn693&amp;dl=0" xr:uid="{F73CEA66-4387-CF47-BF17-2E32EE6AE039}"/>
    <hyperlink ref="A875" r:id="rId872" display="https://www.dropbox.com/scl/fi/oh9ba0wp99vjciacf6lim/41419.pdf?rlkey=tl617cvk8sxegizaynr8dndkg&amp;dl=0" xr:uid="{F246693A-8F0A-F441-96FF-AB6257C0CFA5}"/>
    <hyperlink ref="A876" r:id="rId873" display="https://www.dropbox.com/scl/fi/6nmaucf5f724b2emv1vrw/41420.pdf?rlkey=5cxpaum7ihsx6kpsxi9qevx2k&amp;dl=0" xr:uid="{76E4AC68-42AF-154D-9860-4100F77CBFCD}"/>
    <hyperlink ref="A877" r:id="rId874" display="https://www.dropbox.com/scl/fi/j4faax2dj6bwor71zijq7/41421.pdf?rlkey=jj549hv75qu0gtgxeh5k48vop&amp;dl=0" xr:uid="{4EFB807C-E90F-9C44-8F40-A78CB2B5A43E}"/>
    <hyperlink ref="A878" r:id="rId875" display="https://www.dropbox.com/scl/fi/j32l0to55os55aaj4bb6p/41422.pdf?rlkey=nieuchaj12j7i1kimcwcbce7k&amp;dl=0" xr:uid="{B764A6CA-650E-FB43-A2A7-6EEB0C808C56}"/>
    <hyperlink ref="A879" r:id="rId876" display="https://www.dropbox.com/scl/fi/z9hsyh3rxpwql2urnqzcv/41427.pdf?rlkey=90ff0c14zxp0opaf8p8jc9qo5&amp;dl=0" xr:uid="{0AF65F0A-2760-1B47-BDF0-507089BCC484}"/>
    <hyperlink ref="A880" r:id="rId877" display="https://www.dropbox.com/scl/fi/h5a1imv63hy2su5mae8yf/41428.pdf?rlkey=rw14fya2i7wjkfix6qrck7jlb&amp;dl=0" xr:uid="{E10CCB99-F4D0-104D-872E-8C66298A7BE6}"/>
    <hyperlink ref="A881" r:id="rId878" display="https://www.dropbox.com/scl/fi/id90e8x4wrgrtljtjjhtb/41429.pdf?rlkey=qx0pxc14n3t3eucax2go3jkbb&amp;dl=0" xr:uid="{EA0D9A77-5AE4-0042-975F-5D62A9467BC5}"/>
    <hyperlink ref="A882" r:id="rId879" display="https://www.dropbox.com/scl/fi/6m0l6j28j8d6flc8ol2ck/41430.pdf?rlkey=wf87hgu9dhkba37k7am0t5p19&amp;dl=0" xr:uid="{1C656540-3B66-E642-8559-D888C50B56FB}"/>
    <hyperlink ref="A883" r:id="rId880" display="https://www.dropbox.com/scl/fi/0pna1gb8n6n723oso6si5/41431.pdf?rlkey=uvdq0rtjoz0pkrmq4vrdratch&amp;dl=0" xr:uid="{A68A0A54-6DBB-E54C-BD42-58588794D015}"/>
    <hyperlink ref="A884" r:id="rId881" display="https://www.dropbox.com/scl/fi/awwphxi6a48yvvd0x68m6/41432.pdf?rlkey=60p3rpl1al4066m3zu85gmxdb&amp;dl=0" xr:uid="{F60AFD76-F59C-7049-8EB6-69554A098F88}"/>
    <hyperlink ref="A885" r:id="rId882" display="https://www.dropbox.com/scl/fi/gowrgl51m8avpxkq2d61e/41433.pdf?rlkey=kzumb39fx3t7modpv7ywptdnu&amp;dl=0" xr:uid="{12A73765-F349-1647-8166-E0934CC23F3B}"/>
    <hyperlink ref="A886" r:id="rId883" display="https://www.dropbox.com/scl/fi/00fspt9mi550hmvv7865j/41434.pdf?rlkey=jij9chg760t4rw4knnximdlb3&amp;dl=0" xr:uid="{198E169A-4DA9-D644-A12D-15A70C530AB8}"/>
    <hyperlink ref="A887" r:id="rId884" display="https://www.dropbox.com/scl/fi/25d4hdgalaveonymp8hx2/41435.pdf?rlkey=p4yc153kv00hyg4jfw659scmw&amp;dl=0" xr:uid="{5A676736-878A-FF4F-B3D9-647E32BDCF64}"/>
    <hyperlink ref="A888" r:id="rId885" display="https://www.dropbox.com/scl/fi/jf8iol89mqkopgz40brxt/41436.pdf?rlkey=dbg93ycmk0me2mokmgqcupak4&amp;dl=0" xr:uid="{E2B49B09-3E1A-3A43-B218-41C3401FB0E7}"/>
    <hyperlink ref="A889" r:id="rId886" display="https://www.dropbox.com/scl/fi/69uj1rnsoa1zzozrvz8d9/41442.pdf?rlkey=c23bppepb9snr6314ynzjf4rl&amp;dl=0" xr:uid="{3F54DF6D-C0CD-8A4E-A186-43E73424CB1C}"/>
    <hyperlink ref="A890" r:id="rId887" display="https://www.dropbox.com/scl/fi/ozkxvbafuv9kszgw3kukf/41446.pdf?rlkey=ays6bmkuykwbdzg755rcfzsdu&amp;dl=0" xr:uid="{BFF087CB-4A68-A043-8902-581C22408D0E}"/>
    <hyperlink ref="A891" r:id="rId888" display="https://www.dropbox.com/scl/fi/7yjjemosc421t45pnea8o/41447.pdf?rlkey=bn2bton6datmi3k72yutyd99s&amp;dl=0" xr:uid="{D89D781C-89D0-6D46-971F-FD54036A7134}"/>
    <hyperlink ref="A892" r:id="rId889" display="https://www.dropbox.com/scl/fi/8o02x066fzk3fe0nc8125/41448.pdf?rlkey=tk8mrl5zhs0naikvaggr3ju5h&amp;dl=0" xr:uid="{67B01366-7E7C-8F43-8212-7F47EBD2197B}"/>
    <hyperlink ref="A893" r:id="rId890" display="https://www.dropbox.com/scl/fi/q5qbchx2atrrly1rjrz4d/41449.pdf?rlkey=wm4sauomrd0p7ykvq7d7m5li4&amp;dl=0" xr:uid="{2FA36CD0-5473-9646-85EE-D9910149F685}"/>
    <hyperlink ref="A894" r:id="rId891" display="https://www.dropbox.com/scl/fi/4ww55wkksa8r54bd7aa4j/41450.pdf?rlkey=bdeq9d9gbdvhe4frv8vfw3w59&amp;dl=0" xr:uid="{708203DF-5DBC-1D45-9921-237A6271331B}"/>
    <hyperlink ref="A895" r:id="rId892" display="https://www.dropbox.com/scl/fi/i7fx49waqg3kzqzabch0w/41454.pdf?rlkey=pzmlqjz54ca28udmcyjb4wht8&amp;dl=0" xr:uid="{F1DE47A4-3F5E-244E-9E02-010B20F0F087}"/>
    <hyperlink ref="A896" r:id="rId893" display="https://www.dropbox.com/scl/fi/jrrtpihmr6xbsxgp4pgsw/41456.pdf?rlkey=jw3q1dglir3q8ew8047tzlwyx&amp;dl=0" xr:uid="{F9C13E0B-08DD-8E4E-AAC6-58F35E396148}"/>
    <hyperlink ref="A897" r:id="rId894" display="https://www.dropbox.com/scl/fi/jkcovgs2qw3zo83sz2c8e/41457.pdf?rlkey=97t8my9gb24rj6rc5bj5vr6uf&amp;dl=0" xr:uid="{049953D2-CC3F-E14D-90EA-4A8914768F29}"/>
    <hyperlink ref="A898" r:id="rId895" display="https://www.dropbox.com/scl/fi/ixz3nniy3ab7np1qvrdwm/41458.pdf?rlkey=1gth91wn6qpr93u85ov7nll12&amp;dl=0" xr:uid="{C5B52129-C932-4942-8563-F18082856F85}"/>
    <hyperlink ref="A899" r:id="rId896" display="https://www.dropbox.com/scl/fi/dqfsln7f5xk3hytuxeygn/41459.pdf?rlkey=vb18wb2ecwfcgvlxfmbpxu4ji&amp;dl=0" xr:uid="{782DC9B9-7628-D643-A6DA-65A8D86D6C97}"/>
    <hyperlink ref="A900" r:id="rId897" display="https://www.dropbox.com/scl/fi/b7x3k7c6hjwrxdn6rtwoo/41460.pdf?rlkey=fr6go7poo73rwkbt576u521c5&amp;dl=0" xr:uid="{82AB4064-B07F-364C-A4AE-314B718F0729}"/>
    <hyperlink ref="A901" r:id="rId898" display="https://www.dropbox.com/scl/fi/14kl3u1xip9nhoks0ngte/41461.pdf?rlkey=t3qyloddi2ak4w36udwox7fgh&amp;dl=0" xr:uid="{F5A2BDB2-00CF-4B46-B50F-1D9557145D7E}"/>
    <hyperlink ref="A902" r:id="rId899" display="https://www.dropbox.com/scl/fi/3l8q20bf5xey08tcczf09/41462.pdf?rlkey=mt2wed5omg0ihq8o38816x3gc&amp;dl=0" xr:uid="{3B1DBE68-B4D9-F948-8DE7-97D6F3186963}"/>
    <hyperlink ref="A903" r:id="rId900" display="https://www.dropbox.com/scl/fi/m4k1296o7n4ngfqaura5k/41463.pdf?rlkey=epn35z5t13dylzwh3ac39q088&amp;dl=0" xr:uid="{509FE682-E6E3-8D4C-ABEE-DC47127814A1}"/>
    <hyperlink ref="A904" r:id="rId901" display="https://www.dropbox.com/scl/fi/9sz9yp6l07br16wvv4mcn/41464.pdf?rlkey=mwr9aq0msejpkpnqtwtq2quxc&amp;dl=0" xr:uid="{5450ED1B-466B-AB4D-9F27-6E229ACE87F4}"/>
    <hyperlink ref="A905" r:id="rId902" display="https://www.dropbox.com/scl/fi/5c7rhm094hdiaq2oqbh2m/41466.pdf?rlkey=9pwy7h3c7vhl76m9jnwvhttxq&amp;dl=0" xr:uid="{C771E46A-05F3-D24B-B0D5-F023B9B74ECF}"/>
    <hyperlink ref="A906" r:id="rId903" display="https://www.dropbox.com/scl/fi/p5q34rumnp76j6wk8jm02/41467.pdf?rlkey=vbbz8vxs00bz3t2mm8usp7mg8&amp;dl=0" xr:uid="{83643914-E9D5-E544-A7FE-22EAAF8BAA19}"/>
    <hyperlink ref="A907" r:id="rId904" display="https://www.dropbox.com/scl/fi/qgoy1qf9vk76tv86n8xt4/41469.pdf?rlkey=pwvm1qn1q90cg45euigts97nm&amp;dl=0" xr:uid="{82C6EFC3-0C14-264D-8D41-99E61CA3ABC1}"/>
    <hyperlink ref="A908" r:id="rId905" display="https://www.dropbox.com/scl/fi/479eloytb6d5p67azhgg3/41470.pdf?rlkey=q1pfszz63b82ewyt3d5vs1ef8&amp;dl=0" xr:uid="{7E02CC5F-BFBE-4F40-9678-EA45B2EE09DE}"/>
    <hyperlink ref="A909" r:id="rId906" display="https://www.dropbox.com/scl/fi/gs9gnx5yojuggwwyy4pv3/41471.pdf?rlkey=fi6fql7o0ldkmc34adfsu1hj5&amp;dl=0" xr:uid="{4DDB6719-3B02-C246-B647-E60D2E559776}"/>
    <hyperlink ref="A910" r:id="rId907" display="https://www.dropbox.com/scl/fi/x3eo3z9m6hkuejdnmphu5/41473.pdf?rlkey=im0ssj43cmiinaz7zlfol36ls&amp;dl=0" xr:uid="{9FB2FFC9-1946-D749-B9FA-C88D7FBAABE5}"/>
    <hyperlink ref="A911" r:id="rId908" display="https://www.dropbox.com/scl/fi/q2hjcllglve9eajshiyw1/41474.pdf?rlkey=x9sd08oa37cjbrybq3rbf8x62&amp;dl=0" xr:uid="{28B44C31-B6F2-F048-896F-38ADE4419B4A}"/>
    <hyperlink ref="A912" r:id="rId909" display="https://www.dropbox.com/scl/fi/cn9jwuvw5kqt9qwmnyeio/41475.pdf?rlkey=hkpk19f9anp6l4rsbog7av1y8&amp;dl=0" xr:uid="{9A19147C-96EB-1247-8F2F-1ECE62E91F87}"/>
    <hyperlink ref="A913" r:id="rId910" display="https://www.dropbox.com/scl/fi/23czkokl71kivle6e7lqi/41476.pdf?rlkey=d21x1453egdnd1xh1dvenympk&amp;dl=0" xr:uid="{B41706E7-D023-5446-86E2-9335EA19B337}"/>
    <hyperlink ref="A914" r:id="rId911" display="https://www.dropbox.com/scl/fi/b38bk9s06hgxpsu0v91fh/41480.pdf?rlkey=cb6iu3r8oygp6prnli9xjrouk&amp;dl=0" xr:uid="{064AB8F2-1D86-D14C-907C-EC16B70F19F9}"/>
    <hyperlink ref="A915" r:id="rId912" display="https://www.dropbox.com/scl/fi/c17r6ihfou88ls63rb3ez/41481.pdf?rlkey=dvy9esk4uvm3ot03aeg0qe42j&amp;dl=0" xr:uid="{019F3D72-FED6-ED42-94B4-7E648D1129B1}"/>
    <hyperlink ref="A916" r:id="rId913" display="https://www.dropbox.com/scl/fi/mjoypqk86mwz1z2zddjd3/41482.pdf?rlkey=muqeqf6tn7gyp1ys8jhaj8o0x&amp;dl=0" xr:uid="{7E099BA5-896B-0648-B977-714A248A9D04}"/>
    <hyperlink ref="A917" r:id="rId914" display="https://www.dropbox.com/scl/fi/5kp352cfydxxhq1tgj01b/41483.pdf?rlkey=pc23jm2rxg0fg10m2749j4lz3&amp;dl=0" xr:uid="{502EE813-C51A-0341-9133-F299D56C83A4}"/>
    <hyperlink ref="A918" r:id="rId915" display="https://www.dropbox.com/scl/fi/18309jpk27lqolc6avwae/41484.pdf?rlkey=hc98c2scsnfti7ykv0csq0dgh&amp;dl=0" xr:uid="{28280874-8940-F04E-B8A4-F715EBC7010C}"/>
    <hyperlink ref="A919" r:id="rId916" display="https://www.dropbox.com/scl/fi/qxvuxfcm5p8hth5tuauux/41485.pdf?rlkey=qb3nsdgeh5zse0frh9tfx5ou1&amp;dl=0" xr:uid="{BB00B6F6-F135-3944-9419-34051CEDBBC8}"/>
    <hyperlink ref="A920" r:id="rId917" display="https://www.dropbox.com/scl/fi/1337y21t5kb1rnylg1ewx/41486.pdf?rlkey=1c795knhof3o1h9y9l5kvo5xf&amp;dl=0" xr:uid="{5D6CFD0A-10F7-0145-9701-66355397A149}"/>
    <hyperlink ref="A921" r:id="rId918" display="https://www.dropbox.com/scl/fi/d5n3gr3l2kz1n4fk2j4u7/41487.pdf?rlkey=07vbd40afmg3yz6w5huspsr7r&amp;dl=0" xr:uid="{851B26A5-819A-2040-B8A6-80FF98A3A228}"/>
    <hyperlink ref="A922" r:id="rId919" display="https://www.dropbox.com/scl/fi/66gw2jy5khgo41deuqax2/41488.pdf?rlkey=572svzfwynfmuv0w2oterfh5x&amp;dl=0" xr:uid="{7E32A54D-9F87-0B4D-851D-190B74F3F432}"/>
    <hyperlink ref="A923" r:id="rId920" display="https://www.dropbox.com/scl/fi/mwevuuu4aclu7byihdt08/41489.pdf?rlkey=0ro4x81r2kr1qcm1kaywauhfe&amp;dl=0" xr:uid="{05CD9FB5-1834-4B4B-A4B2-486C89DF5C69}"/>
    <hyperlink ref="A924" r:id="rId921" display="https://www.dropbox.com/scl/fi/syeas7mir359ciu42hw4h/41492.pdf?rlkey=k77hgft4ivjtdquvx5x81h3sn&amp;dl=0" xr:uid="{CB3FB734-2FF9-CD44-88E7-A4A024D31615}"/>
    <hyperlink ref="A925" r:id="rId922" display="https://www.dropbox.com/scl/fi/dx138ea2g1ij09ee584ba/41493.pdf?rlkey=p0614zbidvgh9vxr0aqmdtze9&amp;dl=0" xr:uid="{F9E0A6E0-7C3B-5D44-90A8-D6F3059FFCE7}"/>
    <hyperlink ref="A926" r:id="rId923" display="https://www.dropbox.com/scl/fi/rmv8g8urqcqaqcnbggl6r/41494.pdf?rlkey=rtwuvhz3gmmh6cu8m8twoypai&amp;dl=0" xr:uid="{B037E90C-255E-F845-AD08-8AD8AB3A1F2C}"/>
    <hyperlink ref="A927" r:id="rId924" display="https://www.dropbox.com/scl/fi/hs4ffytr8u6unwk1p916s/41499.pdf?rlkey=d4ue1aej5we6aaxaupl85izzl&amp;dl=0" xr:uid="{4BED2380-6B3D-BC48-AA23-45F1DB6F0ADF}"/>
    <hyperlink ref="A928" r:id="rId925" display="https://www.dropbox.com/scl/fi/b3p7q7oz2u78sq4bpved1/41500.pdf?rlkey=3qx2wrgqvi0i05e8m0kmchwnx&amp;dl=0" xr:uid="{EC0996DB-3278-2643-AA65-A11AFD509B61}"/>
    <hyperlink ref="A929" r:id="rId926" display="https://www.dropbox.com/scl/fi/ncivusb2hnrt0wsuzuqym/41501.pdf?rlkey=z5stf3csv3geu31uxrz43wqq0&amp;dl=0" xr:uid="{89C8ECA9-C9E7-5B4B-AE28-2963EF79F93D}"/>
    <hyperlink ref="A930" r:id="rId927" display="https://www.dropbox.com/scl/fi/ycezwc5g20p9rsof4xcp1/41502.pdf?rlkey=xxj0uu6wff4s9xtw64pzxc4a7&amp;dl=0" xr:uid="{B7E64918-7ADC-CE45-8447-52F6C283F4BA}"/>
    <hyperlink ref="A931" r:id="rId928" display="https://www.dropbox.com/scl/fi/yl7a2xmjmq40qy95llzdr/41504.pdf?rlkey=38jglanjzl8vj2ncwedits933&amp;dl=0" xr:uid="{7FB1590A-1A06-794D-8C60-41BFA0E331A2}"/>
    <hyperlink ref="A932" r:id="rId929" display="https://www.dropbox.com/scl/fi/b8qd445jw0fmm0y5g4kos/41505.pdf?rlkey=yk2sn0yziue6qijyihy5jv5a6&amp;dl=0" xr:uid="{47516508-22BD-154F-BCC3-E49E2F71715C}"/>
    <hyperlink ref="A933" r:id="rId930" display="https://www.dropbox.com/scl/fi/cfi9w0m49tls1ca9avoi3/41507.pdf?rlkey=ye3z15pn0zx460ivg6rpbdb58&amp;dl=0" xr:uid="{5D632236-8027-8C42-823E-6BFB7D6B5800}"/>
    <hyperlink ref="A934" r:id="rId931" display="https://www.dropbox.com/scl/fi/bklqkbycqga4ytkjf1yj3/41508.pdf?rlkey=674tv1vva9t1ton3e6ujub8pf&amp;dl=0" xr:uid="{5FEB81FB-0301-9D48-A324-00E0CEB742EA}"/>
    <hyperlink ref="A935" r:id="rId932" display="https://www.dropbox.com/scl/fi/kxhnhzu4wr5ynsd3bi7nh/41511.pdf?rlkey=4nbzrbsysu84uf5ccki2feqv8&amp;dl=0" xr:uid="{B40DDA97-8D91-634A-96E4-BA24945EC062}"/>
    <hyperlink ref="A936" r:id="rId933" display="https://www.dropbox.com/scl/fi/qcux5nnzqg4fvx5uh2k6u/41512.pdf?rlkey=p0wcyrfal074aqw02o4fw78ss&amp;dl=0" xr:uid="{34EEB5E0-E5E1-5F49-9C91-8D3FA1FA777D}"/>
    <hyperlink ref="A937" r:id="rId934" display="https://www.dropbox.com/scl/fi/lb4ke8ief0o0x3xu6prk9/41513.pdf?rlkey=pho8rvk6w600qbk2j2uf5valr&amp;dl=0" xr:uid="{B3B4F2D4-D055-B54A-A867-44A07C66B3F0}"/>
    <hyperlink ref="A938" r:id="rId935" display="https://www.dropbox.com/scl/fi/3y5subjnab6se8e5u8fyo/41518.pdf?rlkey=jigegb7sta2tmff1w6azabymm&amp;dl=0" xr:uid="{232EBAFF-2787-5D44-A00C-D62A03C95243}"/>
    <hyperlink ref="A939" r:id="rId936" display="https://www.dropbox.com/scl/fi/xvaapwv7cfs9lxsfvoa1d/41519.pdf?rlkey=ehvoqv83klcn94k2r3ysl7h1w&amp;dl=0" xr:uid="{341D8493-249C-BD43-8B93-FD948EB94080}"/>
    <hyperlink ref="A940" r:id="rId937" display="https://www.dropbox.com/scl/fi/xz8s04fjiipex4s51tzl3/41520.pdf?rlkey=rlr4nifvd0mjg32ubarb8fftr&amp;dl=0" xr:uid="{95FC7F23-0D98-5240-91B7-F9E42EAC2839}"/>
    <hyperlink ref="A941" r:id="rId938" display="https://www.dropbox.com/scl/fi/bpn6csexyshq7pyfs38sl/41521.pdf?rlkey=qjgtatilhe3acwdnn8e1kenfo&amp;dl=0" xr:uid="{16468850-5108-4741-A2AA-D034A4F7EA9C}"/>
    <hyperlink ref="A942" r:id="rId939" display="https://www.dropbox.com/scl/fi/3ostiff5z2dr764mzw7ee/41522.pdf?rlkey=sxemcpvos6kxclo9oc151a9vo&amp;dl=0" xr:uid="{C4739745-4272-914D-B064-9B8D572203C2}"/>
    <hyperlink ref="A943" r:id="rId940" display="https://www.dropbox.com/scl/fi/usrx6qcxa6hmxnp3v0nf1/41523.pdf?rlkey=7cnewy0ikze8l99ps2097gxeg&amp;dl=0" xr:uid="{ABB1D432-7DB5-994C-8A00-A71241342BC3}"/>
    <hyperlink ref="A944" r:id="rId941" display="https://www.dropbox.com/scl/fi/8a6pnoo3rnxews2orndt1/41524.pdf?rlkey=8lcmp32yeqfzmx85u77m13ceo&amp;dl=0" xr:uid="{D1C61FBD-945B-B244-8720-EA58775EA493}"/>
    <hyperlink ref="A945" r:id="rId942" display="https://www.dropbox.com/scl/fi/4nga8cwccypixgm4408s7/41529.pdf?rlkey=hvvintobt6n2e86hjdsx89nwn&amp;dl=0" xr:uid="{D3743AF1-4BB8-C94C-A6A4-F4EF222B89CC}"/>
    <hyperlink ref="A946" r:id="rId943" display="https://www.dropbox.com/scl/fi/tqhv4j3uthvzbk30qe5h2/41531.pdf?rlkey=wrvx116aasvf9pmvazqvoc2m1&amp;dl=0" xr:uid="{285AFDEB-5768-1F47-8281-D667A595544B}"/>
    <hyperlink ref="A947" r:id="rId944" display="https://www.dropbox.com/scl/fi/ri170q7y6opeptnq1vj9o/41534.pdf?rlkey=ylr9uaygt2muml18d9pj2i66q&amp;dl=0" xr:uid="{E9324073-3FF8-3743-8EBA-F51D1E07A154}"/>
    <hyperlink ref="A948" r:id="rId945" display="https://www.dropbox.com/scl/fi/8ky5bobdqn83dalf5b1jd/41535.pdf?rlkey=64x6tw1ck45f06zpilvquursk&amp;dl=0" xr:uid="{7722A664-0456-F44D-A06F-3C9BF8929B0F}"/>
    <hyperlink ref="A949" r:id="rId946" display="https://www.dropbox.com/scl/fi/h2w2n5qn06q5kfxuqyfky/41542.pdf?rlkey=ovdrfmipr44bxvzgtbuzmhmeb&amp;dl=0" xr:uid="{CAF6B2E5-6B36-7043-9396-8CEEC36C2BC9}"/>
    <hyperlink ref="A950" r:id="rId947" display="https://www.dropbox.com/scl/fi/gp38gqfvyydgiufgdh6sj/41543.pdf?rlkey=uih97l1h8xo2xaph45gnaudpd&amp;dl=0" xr:uid="{3F2F65A3-888B-354B-A0B5-214AB2BB222F}"/>
    <hyperlink ref="A951" r:id="rId948" display="https://www.dropbox.com/scl/fi/6g1x5jmfbmhyno0uw52rb/41551.pdf?rlkey=zm8jyquvwkt3giiw07z854gfg&amp;dl=0" xr:uid="{3C3CEB54-0496-6A44-9091-984F5CA91615}"/>
    <hyperlink ref="A952" r:id="rId949" display="https://www.dropbox.com/scl/fi/54c1cqxsq9ivq496ao1d7/41560.pdf?rlkey=ec4ekv5mjzbyjc8899ahmowl3&amp;dl=0" xr:uid="{4BEFCF0D-6426-2C49-B719-B34F200DB94D}"/>
    <hyperlink ref="A953" r:id="rId950" display="https://www.dropbox.com/scl/fi/omc718wqaeuxtqf2j3xy3/41561.pdf?rlkey=wzh1ydge93q70fzqe640letvn&amp;dl=0" xr:uid="{8828138F-96B3-F149-88F5-01A5F3B2F02E}"/>
    <hyperlink ref="A954" r:id="rId951" display="https://www.dropbox.com/scl/fi/9ql063qkxc2ea05dbfky4/41562.pdf?rlkey=oaljou2fnz2je2adlhjc1vw0r&amp;dl=0" xr:uid="{08184441-279C-7741-96D3-CBA4A9814C02}"/>
    <hyperlink ref="A955" r:id="rId952" display="https://www.dropbox.com/scl/fi/p1uy87viehq5f9pu6ihme/41563.pdf?rlkey=brnb8p4y0q3jj086sivh1tfjh&amp;dl=0" xr:uid="{9244DA42-D2D6-A446-9822-F46DB722F7F0}"/>
    <hyperlink ref="A956" r:id="rId953" display="https://www.dropbox.com/scl/fi/k7w5embv8d9jq68r5apb2/41564.pdf?rlkey=wigxoovko3qzs295qayki077d&amp;dl=0" xr:uid="{0105AF13-A6B1-DE41-BD32-32483E5BB2F2}"/>
    <hyperlink ref="A957" r:id="rId954" display="https://www.dropbox.com/scl/fi/k7ifd1e0ahsnp3088027p/41572.pdf?rlkey=6blsaqn9qxrfutpcrvq3dnl73&amp;dl=0" xr:uid="{309004FC-4291-094B-921E-EDEDE9ED3E66}"/>
    <hyperlink ref="A958" r:id="rId955" display="https://www.dropbox.com/scl/fi/nsf3g9bzvyv6f6t1ad2n7/41573.pdf?rlkey=e7pk6dgccwtyrfb9n16lmawl4&amp;dl=0" xr:uid="{014B5F2B-44E3-2F43-94AC-BA7963798512}"/>
    <hyperlink ref="A959" r:id="rId956" display="https://www.dropbox.com/scl/fi/skq4sdclitbcl8l7xrs74/41574.pdf?rlkey=40x49adl9duoknjxe903upxd4&amp;dl=0" xr:uid="{602CE14F-D9C1-D344-A633-D740EE6F58FC}"/>
    <hyperlink ref="A960" r:id="rId957" display="https://www.dropbox.com/scl/fi/pohwofb7q28lzgo3qq2gt/41575.pdf?rlkey=y3tk28s5ftzps3xbheona977b&amp;dl=0" xr:uid="{5FEEB59F-E082-674E-B9C6-82A41BD5EAD4}"/>
    <hyperlink ref="A961" r:id="rId958" display="https://www.dropbox.com/scl/fi/yseo5uwj23nys88zqv42s/41577.pdf?rlkey=u2wu3rf5onbsogptxze8bcwo0&amp;dl=0" xr:uid="{90E72784-A4DB-F948-AB37-A651F5CA9E09}"/>
    <hyperlink ref="A962" r:id="rId959" display="https://www.dropbox.com/scl/fi/ogcnewbafvetqupwntj0e/41578.pdf?rlkey=2rhurrs9a0c7u5a56uf64wmkp&amp;dl=0" xr:uid="{AEAEACCE-EC32-3C45-9B87-083D75AC9E3F}"/>
    <hyperlink ref="A963" r:id="rId960" display="https://www.dropbox.com/scl/fi/80mtefe7fsu96pnjjqu5b/41580.pdf?rlkey=dahhjih4pprgdx70titwpwufb&amp;dl=0" xr:uid="{2F7779B0-CD15-8145-900F-01DCED417C2F}"/>
    <hyperlink ref="A964" r:id="rId961" display="https://www.dropbox.com/scl/fi/fbjpafir1f8wo9cwlafa1/41583.pdf?rlkey=spkpedb6bkcyb43x6fxebb6lr&amp;dl=0" xr:uid="{C87FAB6A-2ECF-A141-BAA6-27A96483C848}"/>
    <hyperlink ref="A965" r:id="rId962" display="https://www.dropbox.com/scl/fi/awtqo60m5k8qy4zm7kz50/41584.pdf?rlkey=u5syhnc0x6vw5gcbvf30ddzfs&amp;dl=0" xr:uid="{FAE9D028-6615-A446-BF09-6A6CCA8ADE17}"/>
    <hyperlink ref="A966" r:id="rId963" display="https://www.dropbox.com/scl/fi/eux10jm3bamzau3oyjja3/41585.pdf?rlkey=6enktm3u7gl7zb430kpbry601&amp;dl=0" xr:uid="{7BFAEF0E-D8BF-9945-BC9B-F0BF05F13C48}"/>
    <hyperlink ref="A967" r:id="rId964" display="https://www.dropbox.com/scl/fi/i5cj2lofdt4lw43dt4wgl/41586.pdf?rlkey=ykxttzef6e9jsnou21svks9mx&amp;dl=0" xr:uid="{2D8113B9-5733-E347-957E-9A970583D8C9}"/>
    <hyperlink ref="A968" r:id="rId965" display="https://www.dropbox.com/scl/fi/wofka2upwcqrsjosjybks/41587.pdf?rlkey=pm2ytz70z1yjly9jvj5f8xkpm&amp;dl=0" xr:uid="{EAC48FDD-4C43-D84D-AF72-519B0EEFC7AF}"/>
    <hyperlink ref="A969" r:id="rId966" display="https://www.dropbox.com/scl/fi/voxq4s47kpn19cdnuclpa/41588.pdf?rlkey=pvbdo1iqn2mgvdvim9xhgfbom&amp;dl=0" xr:uid="{B1DD8883-548C-484F-A4CF-97EC7ED13087}"/>
    <hyperlink ref="A970" r:id="rId967" display="https://www.dropbox.com/scl/fi/23si1cv65cl9k74oc9dvz/41594.pdf?rlkey=lokzqno0jsj4hmw0od8h4nm54&amp;dl=0" xr:uid="{71943406-EA18-D043-ACBD-4E7D45241854}"/>
    <hyperlink ref="A971" r:id="rId968" display="https://www.dropbox.com/scl/fi/hwt8csstxtdz3kfs54gw6/41595.pdf?rlkey=yn4piz8h0njfw8j2z1l4t3xpq&amp;dl=0" xr:uid="{85418AC7-F38A-E343-88D4-4365801ACBBF}"/>
    <hyperlink ref="A972" r:id="rId969" display="https://www.dropbox.com/scl/fi/a8oarec7iwed2v4xp05zx/41596.pdf?rlkey=0mxvmkmgb0gvexx19hw7n8byp&amp;dl=0" xr:uid="{A21239F1-4682-F64C-A364-98CCBF404555}"/>
    <hyperlink ref="A973" r:id="rId970" display="https://www.dropbox.com/scl/fi/5m4sf32i6gqdeye2agvh0/41597.pdf?rlkey=cgvsh3jfnuwrjmg22t6k48naz&amp;dl=0" xr:uid="{7A441FA4-06C6-9447-AB17-C5ECE525D235}"/>
    <hyperlink ref="A974" r:id="rId971" display="https://www.dropbox.com/scl/fi/6zxlafwqjjg2o50t2mb4h/41621.pdf?rlkey=t8mc0s657xiv5i90tve7nhjwp&amp;dl=0" xr:uid="{61FF29C6-5F76-BD4B-B26C-3ACF12178C36}"/>
    <hyperlink ref="A975" r:id="rId972" display="https://www.dropbox.com/scl/fi/hljxfj2ockqhcj07fna6d/41622.pdf?rlkey=ngqlbtmeeyr3acpqbv8nt5kbe&amp;dl=0" xr:uid="{09B4AB25-E874-DF4F-8EB3-A875A3FF4A68}"/>
    <hyperlink ref="A976" r:id="rId973" display="https://www.dropbox.com/scl/fi/cfk8awrrz7jggfdl6zyfz/41625.pdf?rlkey=dfmsvpoebks5xhsdiaf1i1xfn&amp;dl=0" xr:uid="{64F6B191-561F-E449-86B9-772484FC3F58}"/>
    <hyperlink ref="A977" r:id="rId974" display="https://www.dropbox.com/scl/fi/5jpmgoiybwhfag72lymps/41626.pdf?rlkey=n6odtxuoj0fs0qsc7vns7yxyh&amp;dl=0" xr:uid="{112EEE21-FD49-0043-9B1A-0CD22F04E37F}"/>
    <hyperlink ref="A978" r:id="rId975" display="https://www.dropbox.com/scl/fi/3fy1lqc7kmj3qpjtiy8x4/41627.pdf?rlkey=2x4fq75c2a5avzcnpryh6yrrn&amp;dl=0" xr:uid="{E86A5278-33F2-6340-B880-E6F8CCC01992}"/>
    <hyperlink ref="A979" r:id="rId976" display="https://www.dropbox.com/scl/fi/bbpvu8vfq0iom79lcrz7p/41628.pdf?rlkey=ciabqzsca734039ajcwizqffr&amp;dl=0" xr:uid="{790A9579-FC98-0F44-81F6-8511D578149B}"/>
    <hyperlink ref="A980" r:id="rId977" display="https://www.dropbox.com/scl/fi/ghpp8b30xx7xd3k27ywyf/41629.pdf?rlkey=ilqgqws6jxt7827sh4aor9dry&amp;dl=0" xr:uid="{62E0C542-2C56-DE46-BF50-C7801B3118B3}"/>
    <hyperlink ref="A981" r:id="rId978" display="https://www.dropbox.com/scl/fi/pk1mwwlwb8gwbnzq5c9wi/41631.pdf?rlkey=ayx05041avmwgu9ju8ttefo18&amp;dl=0" xr:uid="{2E6D4D43-E127-B342-89AA-B9D37CA1320F}"/>
    <hyperlink ref="A982" r:id="rId979" display="https://www.dropbox.com/scl/fi/ywb9ksrrqnvwp8w7o1si8/41632.pdf?rlkey=x5dd4yra5ygup9nk3qjeoncba&amp;dl=0" xr:uid="{27B43504-580C-304C-A4D4-A11222B2ED97}"/>
    <hyperlink ref="A983" r:id="rId980" display="https://www.dropbox.com/scl/fi/v3s9fdy616lwwip0chrjn/41638.pdf?rlkey=o9jh9blhpzeq3z5c7m6byrd0t&amp;dl=0" xr:uid="{5C5626A9-C76E-B443-B99F-387D1211B39C}"/>
    <hyperlink ref="A984" r:id="rId981" display="https://www.dropbox.com/scl/fi/j8eipwnd1hjyb2v3d5j4r/41644.pdf?rlkey=u7nniiyhixy4pvwnil3tg2zp7&amp;dl=0" xr:uid="{01D989D1-2D23-2D48-BFF7-891BFFCF944E}"/>
    <hyperlink ref="A985" r:id="rId982" display="https://www.dropbox.com/scl/fi/w50t5fpd17eelzlaubuhf/41646.pdf?rlkey=i9c6zrtg3k6zidxulh3236cyq&amp;dl=0" xr:uid="{5736AE00-595B-C54D-8506-3075AFC7B36A}"/>
    <hyperlink ref="A986" r:id="rId983" display="https://www.dropbox.com/scl/fi/6ibf0tanlhck6ojgbo2ad/41647.pdf?rlkey=z0s63aa55d7qh6pbe35mru7er&amp;dl=0" xr:uid="{C2A675D4-9BBF-664D-8F30-D77133C858C1}"/>
    <hyperlink ref="A987" r:id="rId984" display="https://www.dropbox.com/scl/fi/yroc3pwligptugbxl9m1p/41648.pdf?rlkey=bf4dquic79t9c77le06ltphx8&amp;dl=0" xr:uid="{595E6638-E662-1143-9BC1-1F5C81564000}"/>
    <hyperlink ref="A988" r:id="rId985" display="https://www.dropbox.com/scl/fi/wfxqwmxlj3cqwzy5gb4dy/41650.pdf?rlkey=uc367ldukrm1zynwke51c85vq&amp;dl=0" xr:uid="{A708B27F-30EB-1F4F-804E-F6737D0F3B41}"/>
    <hyperlink ref="A989" r:id="rId986" display="https://www.dropbox.com/scl/fi/oowa4xo5uyva9qr107iig/41652.pdf?rlkey=e82c55nipvfg2ndp00pk4u54r&amp;dl=0" xr:uid="{742688B8-3673-C74D-ABE5-CF61941296AE}"/>
    <hyperlink ref="A990" r:id="rId987" display="https://www.dropbox.com/scl/fi/t55t3z24zzuyq1gqoi41e/41653.pdf?rlkey=z6zdqbk6yr37x2hromkdfs68j&amp;dl=0" xr:uid="{D4D95E24-87D9-E646-ADA2-8E57C729156D}"/>
    <hyperlink ref="A991" r:id="rId988" display="https://www.dropbox.com/scl/fi/o42tin4dte965b6adufn4/41656.pdf?rlkey=pgvk574tlp0okbrilynshuqjs&amp;dl=0" xr:uid="{CB6ADEAD-A6AA-684A-9CB8-AF354356E1CA}"/>
    <hyperlink ref="A992" r:id="rId989" display="https://www.dropbox.com/scl/fi/ihjptsgxfnfyjzeokx7rb/41658.pdf?rlkey=cvrwmjwkgnqiwb3mhtu6p6wlb&amp;dl=0" xr:uid="{3A84DCB1-C149-7E43-A2CA-9AA9D9C0D785}"/>
    <hyperlink ref="A993" r:id="rId990" display="https://www.dropbox.com/scl/fi/hyinlyfgoxc6wm6ypap5x/41660.pdf?rlkey=wnc1v4sxgeue7p11497wu5ny2&amp;dl=0" xr:uid="{F6E2270D-05AC-5E4A-8617-A32B9BCD46E7}"/>
    <hyperlink ref="A994" r:id="rId991" display="https://www.dropbox.com/scl/fi/81n1hmmapm68q6aow1xkp/41661.pdf?rlkey=ofyf76lcb0x2w8ehsz17h3b7k&amp;dl=0" xr:uid="{FDD38B0A-36F8-D349-84C4-CBB41C315FB3}"/>
    <hyperlink ref="A995" r:id="rId992" display="https://www.dropbox.com/scl/fi/lyq7563ktlpoqzvb372vf/41662.pdf?rlkey=wuutae2k8uv9l613dlr8g17yl&amp;dl=0" xr:uid="{B19E7545-B613-BB42-B02A-A0D017ACF027}"/>
    <hyperlink ref="A996" r:id="rId993" display="https://www.dropbox.com/scl/fi/k06needmhnvgdp18uwgxu/41664.pdf?rlkey=i913uha5lz44hba3rxjr2g9i8&amp;dl=0" xr:uid="{57DA83C7-368E-284C-9EB7-178B59394BBA}"/>
    <hyperlink ref="A997" r:id="rId994" display="https://www.dropbox.com/scl/fi/c42woc3ovr8oydpnpuz95/41666.pdf?rlkey=wmp9mkoujw3t13a84ks587utt&amp;dl=0" xr:uid="{99097F0B-46A7-8247-9F91-F74AC318FD46}"/>
    <hyperlink ref="A998" r:id="rId995" display="https://www.dropbox.com/scl/fi/6aqbif4wvqeivax9s6s4l/41667.pdf?rlkey=xnsr2kj6b0ndq1gdyqmfl0d51&amp;dl=0" xr:uid="{9CB26105-FC13-204C-8852-33848A835A48}"/>
    <hyperlink ref="A999" r:id="rId996" display="https://www.dropbox.com/scl/fi/gjzjcy7vnms5wz790dyhu/41668.pdf?rlkey=c2bw8jrn67bufvyqsh0ktrof2&amp;dl=0" xr:uid="{9378B811-48B6-5F4D-B2B6-38E795A2F974}"/>
    <hyperlink ref="A1000" r:id="rId997" display="https://www.dropbox.com/scl/fi/axb0elqth8a8algzyp6tf/41669.pdf?rlkey=uapx93b8dmblzd622z61lj1ea&amp;dl=0" xr:uid="{B8673296-F54B-7749-AA34-9C1CC9150276}"/>
    <hyperlink ref="A1001" r:id="rId998" display="https://www.dropbox.com/scl/fi/vr891r0nkir8rau54bfz4/41675.pdf?rlkey=i5e51k7zq5eqjrk0xo409u4kb&amp;dl=0" xr:uid="{C608F734-5247-2349-8592-ED245A79D6D3}"/>
    <hyperlink ref="A1002" r:id="rId999" display="https://www.dropbox.com/scl/fi/w43l0ocm6op86e2iegwr5/41678.pdf?rlkey=u5gm4yqesspannx0df7pbzwuq&amp;dl=0" xr:uid="{CD75D04D-6D3F-7F45-8F64-89D61978DA6D}"/>
    <hyperlink ref="A1003" r:id="rId1000" display="https://www.dropbox.com/scl/fi/n5pj72wfy059rjyzdicw5/41681.pdf?rlkey=gos4bgnux4ys8dcnxgfp4thlw&amp;dl=0" xr:uid="{958E72AD-5414-3946-BD22-E6D956036916}"/>
    <hyperlink ref="A1004" r:id="rId1001" display="https://www.dropbox.com/scl/fi/to4flrlu6qy52dkyijmav/41693.pdf?rlkey=a2lifcec51bch8oauqzbnua73&amp;dl=0" xr:uid="{1C81241D-DA67-0C4F-A81C-0465C636D620}"/>
    <hyperlink ref="A1005" r:id="rId1002" display="https://www.dropbox.com/scl/fi/mwvxpafcliqjhnj50rh60/41694.pdf?rlkey=akj9e3nnvb0sx0a9wd28csfqt&amp;dl=0" xr:uid="{81000E4C-F0E1-E149-95C1-CB275C215EF6}"/>
    <hyperlink ref="A1006" r:id="rId1003" display="https://www.dropbox.com/scl/fi/zcb80a65ck5ujogph9r3m/41695.pdf?rlkey=sfpivgkslsgyh44acq4weq707&amp;dl=0" xr:uid="{DF58B462-160D-9049-B37E-E66F528A1FC5}"/>
    <hyperlink ref="A1007" r:id="rId1004" display="https://www.dropbox.com/scl/fi/pn9njeteve5io5c9lqij2/41696.pdf?rlkey=w88t4xfla1bdqaksiz686ipak&amp;dl=0" xr:uid="{3B1B2F90-FB2D-744A-9030-779AC07982F3}"/>
    <hyperlink ref="A1008" r:id="rId1005" display="https://www.dropbox.com/scl/fi/tj32wg8gr78p0m2shpl98/41705.pdf?rlkey=zevkq2zh5x9s2acm1ltyd2jeb&amp;dl=0" xr:uid="{B8BCC32A-F1BD-B849-A3B7-938893BBBFDF}"/>
    <hyperlink ref="A1009" r:id="rId1006" display="https://www.dropbox.com/scl/fi/6jhv0ydc4tic85gc9gdtd/41706.pdf?rlkey=1xk1odo8mnlkx3pegb6dn72ph&amp;dl=0" xr:uid="{289624FB-E99A-5945-A116-8B431B69AB7F}"/>
    <hyperlink ref="A1010" r:id="rId1007" display="https://www.dropbox.com/scl/fi/f6xkzks0k7qo7ym3oyouv/41707.pdf?rlkey=0ps9j850724urk1fm03t37oui&amp;dl=0" xr:uid="{6EA053BF-2413-E045-BDEF-504986F29E30}"/>
    <hyperlink ref="A1011" r:id="rId1008" display="https://www.dropbox.com/scl/fi/caipgm7o7wxnqav4dmbl1/41710.pdf?rlkey=xgr3a2h803pefa676j7263l4r&amp;dl=0" xr:uid="{3C281B6B-F425-E344-B51F-98CAA26D303C}"/>
  </hyperlinks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9056D-B5E9-D849-993B-8C95DB1919B9}">
  <sheetPr>
    <tabColor theme="8" tint="0.59999389629810485"/>
    <pageSetUpPr fitToPage="1"/>
  </sheetPr>
  <dimension ref="A1:V63"/>
  <sheetViews>
    <sheetView zoomScale="110" zoomScaleNormal="110" workbookViewId="0">
      <selection activeCell="A45" sqref="A45"/>
    </sheetView>
  </sheetViews>
  <sheetFormatPr baseColWidth="10" defaultRowHeight="16" x14ac:dyDescent="0.2"/>
  <cols>
    <col min="2" max="5" width="13.33203125" customWidth="1"/>
    <col min="8" max="13" width="13.33203125" customWidth="1"/>
    <col min="17" max="22" width="12.1640625" customWidth="1"/>
  </cols>
  <sheetData>
    <row r="1" spans="1:22" ht="36" customHeight="1" x14ac:dyDescent="0.2">
      <c r="A1" s="40" t="s">
        <v>348</v>
      </c>
      <c r="B1" s="40"/>
      <c r="C1" s="40"/>
      <c r="D1" s="40"/>
      <c r="E1" s="40"/>
      <c r="F1" s="17"/>
      <c r="G1" s="18"/>
      <c r="H1" s="40" t="s">
        <v>31</v>
      </c>
      <c r="I1" s="40"/>
      <c r="J1" s="40"/>
      <c r="K1" s="40"/>
      <c r="L1" s="40"/>
      <c r="M1" s="41">
        <f>M15/$F$15</f>
        <v>0.70506454816286002</v>
      </c>
      <c r="N1" s="41"/>
      <c r="P1" s="40" t="s">
        <v>595</v>
      </c>
      <c r="Q1" s="40"/>
      <c r="R1" s="40"/>
      <c r="S1" s="40"/>
      <c r="T1" s="40"/>
      <c r="U1" s="40"/>
      <c r="V1" s="28"/>
    </row>
    <row r="2" spans="1:22" x14ac:dyDescent="0.2">
      <c r="A2" s="8"/>
      <c r="B2" s="13" t="s">
        <v>208</v>
      </c>
      <c r="C2" s="13" t="s">
        <v>209</v>
      </c>
      <c r="D2" s="13" t="s">
        <v>207</v>
      </c>
      <c r="E2" s="13" t="s">
        <v>210</v>
      </c>
      <c r="F2" s="14" t="s">
        <v>201</v>
      </c>
      <c r="H2" s="8"/>
      <c r="I2" s="13" t="s">
        <v>208</v>
      </c>
      <c r="J2" s="13" t="s">
        <v>209</v>
      </c>
      <c r="K2" s="13" t="s">
        <v>207</v>
      </c>
      <c r="L2" s="13" t="s">
        <v>210</v>
      </c>
      <c r="M2" s="14" t="s">
        <v>201</v>
      </c>
      <c r="N2" s="14" t="s">
        <v>541</v>
      </c>
      <c r="P2" s="8"/>
      <c r="Q2" s="13" t="s">
        <v>24</v>
      </c>
      <c r="R2" s="13" t="s">
        <v>588</v>
      </c>
      <c r="S2" s="13" t="s">
        <v>596</v>
      </c>
      <c r="T2" s="13" t="s">
        <v>587</v>
      </c>
      <c r="U2" s="13" t="s">
        <v>143</v>
      </c>
      <c r="V2" s="14" t="s">
        <v>201</v>
      </c>
    </row>
    <row r="3" spans="1:22" x14ac:dyDescent="0.2">
      <c r="A3" t="s">
        <v>336</v>
      </c>
      <c r="B3">
        <f>COUNTIFS('Cats - 2025'!$D:$D,"0-6 months",'Cats - 2025'!$E:$E,"&gt;=01/01/2025",'Cats - 2025'!$E:$E,"&lt;=1/31/2025")</f>
        <v>13</v>
      </c>
      <c r="C3">
        <f>COUNTIFS('Cats - 2025'!$D:$D,"6-12 months",'Cats - 2025'!$E:$E,"&gt;=01/01/2025",'Cats - 2025'!$E:$E,"&lt;=1/31/2025")</f>
        <v>12</v>
      </c>
      <c r="D3">
        <f>COUNTIFS('Cats - 2025'!$D:$D,"Adult",'Cats - 2025'!$E:$E,"&gt;=01/01/2025",'Cats - 2025'!$E:$E,"&lt;=1/31/2025")</f>
        <v>29</v>
      </c>
      <c r="E3">
        <f>COUNTIFS('Cats - 2025'!$D:$D,"Senior",'Cats - 2025'!$E:$E,"&gt;=01/01/2025",'Cats - 2025'!$E:$E,"&lt;=1/31/2025")</f>
        <v>3</v>
      </c>
      <c r="F3" s="9">
        <f>SUM(B3:E3)</f>
        <v>57</v>
      </c>
      <c r="H3" t="s">
        <v>336</v>
      </c>
      <c r="I3">
        <f>COUNTIFS('Cats - 2025'!$D:$D,"0-6 months",'Cats - 2025'!$E:$E,"&gt;=01/01/2025",'Cats - 2025'!$E:$E,"&lt;=1/31/2025",'Cats - 2025'!$J:$J,"Euthanized")</f>
        <v>4</v>
      </c>
      <c r="J3">
        <f>COUNTIFS('Cats - 2025'!$D:$D,"6-12 months",'Cats - 2025'!$E:$E,"&gt;=01/01/2025",'Cats - 2025'!$E:$E,"&lt;=1/31/2025",'Cats - 2025'!$J:$J,"Euthanized")</f>
        <v>9</v>
      </c>
      <c r="K3">
        <f>COUNTIFS('Cats - 2025'!$D:$D,"Adult",'Cats - 2025'!$E:$E,"&gt;=01/01/2025",'Cats - 2025'!$E:$E,"&lt;=1/31/2025",'Cats - 2025'!$J:$J,"Euthanized")</f>
        <v>17</v>
      </c>
      <c r="L3">
        <f>COUNTIFS('Cats - 2025'!$D:$D,"Senior",'Cats - 2025'!$E:$E,"&gt;=01/01/2025",'Cats - 2025'!$E:$E,"&lt;=1/31/2025",'Cats - 2025'!$J:$J,"Euthanized")</f>
        <v>3</v>
      </c>
      <c r="M3" s="9">
        <f>SUM(I3:L3)</f>
        <v>33</v>
      </c>
      <c r="N3" s="19">
        <f>SUM(M3/F3)</f>
        <v>0.57894736842105265</v>
      </c>
      <c r="P3" t="s">
        <v>336</v>
      </c>
      <c r="Q3">
        <f>COUNTIFS('Cats - 2025'!$K:$K,"Feral",'Cats - 2025'!$E:$E,"&gt;=01/01/2025",'Cats - 2025'!$E:$E,"&lt;=1/31/2025",'Cats - 2025'!$J:$J,"Euthanized")</f>
        <v>10</v>
      </c>
      <c r="R3">
        <f>COUNTIFS('Cats - 2025'!$K:$K,"Injured/Sick",'Cats - 2025'!$E:$E,"&gt;=01/01/2025",'Cats - 2025'!$E:$E,"&lt;=1/31/2025",'Cats - 2025'!$J:$J,"Euthanized")</f>
        <v>3</v>
      </c>
      <c r="S3">
        <f>COUNTIFS('Cats - 2025'!$K:$K,"Owner Request",'Cats - 2025'!$E:$E,"&gt;=01/01/2025",'Cats - 2025'!$E:$E,"&lt;=1/31/2025",'Cats - 2025'!$J:$J,"Euthanized")</f>
        <v>2</v>
      </c>
      <c r="T3">
        <f>COUNTIFS('Cats - 2025'!$K:$K,"Space",'Cats - 2025'!$E:$E,"&gt;=01/01/2025",'Cats - 2025'!$E:$E,"&lt;=1/31/2025",'Cats - 2025'!$J:$J,"Euthanized")</f>
        <v>18</v>
      </c>
      <c r="U3">
        <f>COUNTIFS('Cats - 2025'!$K:$K,"Unweaned",'Cats - 2025'!$E:$E,"&gt;=01/01/2025",'Cats - 2025'!$E:$E,"&lt;=1/31/2025",'Cats - 2025'!$J:$J,"Euthanized")</f>
        <v>0</v>
      </c>
      <c r="V3" s="9">
        <f t="shared" ref="V3:V14" si="0">SUM(Q3:U3)</f>
        <v>33</v>
      </c>
    </row>
    <row r="4" spans="1:22" x14ac:dyDescent="0.2">
      <c r="A4" t="s">
        <v>337</v>
      </c>
      <c r="B4">
        <f>COUNTIFS('Cats - 2025'!$D:$D,"0-6 months",'Cats - 2025'!$E:$E,"&gt;=02/01/2025",'Cats - 2025'!$E:$E,"&lt;=2/28/2025")</f>
        <v>25</v>
      </c>
      <c r="C4">
        <f>COUNTIFS('Cats - 2025'!$D:$D,"6-12 months",'Cats - 2025'!$E:$E,"&gt;=02/01/2025",'Cats - 2025'!$E:$E,"&lt;=2/28/2025")</f>
        <v>9</v>
      </c>
      <c r="D4">
        <f>COUNTIFS('Cats - 2025'!$D:$D,"Adult",'Cats - 2025'!$E:$E,"&gt;=02/01/2025",'Cats - 2025'!$E:$E,"&lt;=2/28/2025")</f>
        <v>43</v>
      </c>
      <c r="E4">
        <f>COUNTIFS('Cats - 2025'!$D:$D,"Senior",'Cats - 2025'!$E:$E,"&gt;=02/01/2025",'Cats - 2025'!$E:$E,"&lt;=2/28/2025")</f>
        <v>2</v>
      </c>
      <c r="F4" s="9">
        <f t="shared" ref="F4:F14" si="1">SUM(B4:E4)</f>
        <v>79</v>
      </c>
      <c r="H4" t="s">
        <v>337</v>
      </c>
      <c r="I4">
        <f>COUNTIFS('Cats - 2025'!$D:$D,"0-6 months",'Cats - 2025'!$E:$E,"&gt;=02/01/2025",'Cats - 2025'!$E:$E,"&lt;=2/28/2025",'Cats - 2025'!$J:$J,"Euthanized")</f>
        <v>12</v>
      </c>
      <c r="J4">
        <f>COUNTIFS('Cats - 2025'!$D:$D,"6-12 months",'Cats - 2025'!$E:$E,"&gt;=02/01/2025",'Cats - 2025'!$E:$E,"&lt;=2/28/2025",'Cats - 2025'!$J:$J,"Euthanized")</f>
        <v>4</v>
      </c>
      <c r="K4">
        <f>COUNTIFS('Cats - 2025'!$D:$D,"Adult",'Cats - 2025'!$E:$E,"&gt;=02/01/2025",'Cats - 2025'!$E:$E,"&lt;=2/28/2025",'Cats - 2025'!$J:$J,"Euthanized")</f>
        <v>33</v>
      </c>
      <c r="L4">
        <f>COUNTIFS('Cats - 2025'!$D:$D,"Senior",'Cats - 2025'!$E:$E,"&gt;=02/01/2025",'Cats - 2025'!$E:$E,"&lt;=2/28/2025",'Cats - 2025'!$J:$J,"Euthanized")</f>
        <v>2</v>
      </c>
      <c r="M4" s="9">
        <f t="shared" ref="M4:M14" si="2">SUM(I4:L4)</f>
        <v>51</v>
      </c>
      <c r="N4" s="19">
        <f t="shared" ref="N4:N10" si="3">SUM(M4/F4)</f>
        <v>0.64556962025316456</v>
      </c>
      <c r="P4" t="s">
        <v>337</v>
      </c>
      <c r="Q4">
        <f>COUNTIFS('Cats - 2025'!$K:$K,"Feral",'Cats - 2025'!$E:$E,"&gt;=02/01/2025",'Cats - 2025'!$E:$E,"&lt;=2/28/2025",'Cats - 2025'!$J:$J,"Euthanized")</f>
        <v>2</v>
      </c>
      <c r="R4">
        <f>COUNTIFS('Cats - 2025'!$K:$K,"Injured/Sick",'Cats - 2025'!$E:$E,"&gt;=02/01/2025",'Cats - 2025'!$E:$E,"&lt;=2/28/2025",'Cats - 2025'!$J:$J,"Euthanized")</f>
        <v>2</v>
      </c>
      <c r="S4">
        <f>COUNTIFS('Cats - 2025'!$K:$K,"Owner Request",'Cats - 2025'!$E:$E,"&gt;=02/01/2025",'Cats - 2025'!$E:$E,"&lt;=2/28/2025",'Cats - 2025'!$J:$J,"Euthanized")</f>
        <v>0</v>
      </c>
      <c r="T4">
        <f>COUNTIFS('Cats - 2025'!$K:$K,"Space",'Cats - 2025'!$E:$E,"&gt;=02/01/2025",'Cats - 2025'!$E:$E,"&lt;=2/28/2025",'Cats - 2025'!$J:$J,"Euthanized")</f>
        <v>47</v>
      </c>
      <c r="U4">
        <f>COUNTIFS('Cats - 2025'!$K:$K,"Unweaned",'Cats - 2025'!$E:$E,"&gt;=02/01/2025",'Cats - 2025'!$E:$E,"&lt;=2/28/2025",'Cats - 2025'!$J:$J,"Euthanized")</f>
        <v>0</v>
      </c>
      <c r="V4" s="9">
        <f t="shared" si="0"/>
        <v>51</v>
      </c>
    </row>
    <row r="5" spans="1:22" x14ac:dyDescent="0.2">
      <c r="A5" t="s">
        <v>338</v>
      </c>
      <c r="B5">
        <f>COUNTIFS('Cats - 2025'!$D:$D,"0-6 months",'Cats - 2025'!$E:$E,"&gt;=03/01/2025",'Cats - 2025'!$E:$E,"&lt;=3/31/2025")</f>
        <v>37</v>
      </c>
      <c r="C5">
        <f>COUNTIFS('Cats - 2025'!$D:$D,"6-12 months",'Cats - 2025'!$E:$E,"&gt;=03/01/2025",'Cats - 2025'!$E:$E,"&lt;=3/31/2025")</f>
        <v>11</v>
      </c>
      <c r="D5">
        <f>COUNTIFS('Cats - 2025'!$D:$D,"Adult",'Cats - 2025'!$E:$E,"&gt;=03/01/2025",'Cats - 2025'!$E:$E,"&lt;=3/31/2025")</f>
        <v>71</v>
      </c>
      <c r="E5">
        <f>COUNTIFS('Cats - 2025'!$D:$D,"Senior",'Cats - 2025'!$E:$E,"&gt;=03/01/2025",'Cats - 2025'!$E:$E,"&lt;=3/31/2025")</f>
        <v>2</v>
      </c>
      <c r="F5" s="9">
        <f t="shared" si="1"/>
        <v>121</v>
      </c>
      <c r="H5" t="s">
        <v>338</v>
      </c>
      <c r="I5">
        <f>COUNTIFS('Cats - 2025'!$D:$D,"0-6 months",'Cats - 2025'!$E:$E,"&gt;=03/01/2025",'Cats - 2025'!$E:$E,"&lt;=3/31/2025",'Cats - 2025'!$J:$J,"Euthanized")</f>
        <v>24</v>
      </c>
      <c r="J5">
        <f>COUNTIFS('Cats - 2025'!$D:$D,"6-12 months",'Cats - 2025'!$E:$E,"&gt;=03/01/2025",'Cats - 2025'!$E:$E,"&lt;=3/31/2025",'Cats - 2025'!$J:$J,"Euthanized")</f>
        <v>6</v>
      </c>
      <c r="K5">
        <f>COUNTIFS('Cats - 2025'!$D:$D,"Adult",'Cats - 2025'!$E:$E,"&gt;=03/01/2025",'Cats - 2025'!$E:$E,"&lt;=3/31/2025",'Cats - 2025'!$J:$J,"Euthanized")</f>
        <v>50</v>
      </c>
      <c r="L5">
        <f>COUNTIFS('Cats - 2025'!$D:$D,"Senior",'Cats - 2025'!$E:$E,"&gt;=03/01/2025",'Cats - 2025'!$E:$E,"&lt;=3/31/2025",'Cats - 2025'!$J:$J,"Euthanized")</f>
        <v>2</v>
      </c>
      <c r="M5" s="9">
        <f t="shared" si="2"/>
        <v>82</v>
      </c>
      <c r="N5" s="19">
        <f t="shared" si="3"/>
        <v>0.6776859504132231</v>
      </c>
      <c r="P5" t="s">
        <v>338</v>
      </c>
      <c r="Q5">
        <f>COUNTIFS('Cats - 2025'!$K:$K,"Feral",'Cats - 2025'!$E:$E,"&gt;=03/01/2025",'Cats - 2025'!$E:$E,"&lt;=3/31/2025",'Cats - 2025'!$J:$J,"Euthanized")</f>
        <v>1</v>
      </c>
      <c r="R5">
        <f>COUNTIFS('Cats - 2025'!$K:$K,"Injured/Sick",'Cats - 2025'!$E:$E,"&gt;=03/01/2025",'Cats - 2025'!$E:$E,"&lt;=3/31/2025",'Cats - 2025'!$J:$J,"Euthanized")</f>
        <v>10</v>
      </c>
      <c r="S5">
        <f>COUNTIFS('Cats - 2025'!$K:$K,"Owner Request",'Cats - 2025'!$E:$E,"&gt;=03/01/2025",'Cats - 2025'!$E:$E,"&lt;=3/31/2025",'Cats - 2025'!$J:$J,"Euthanized")</f>
        <v>1</v>
      </c>
      <c r="T5">
        <f>COUNTIFS('Cats - 2025'!$K:$K,"Space",'Cats - 2025'!$E:$E,"&gt;=03/01/2025",'Cats - 2025'!$E:$E,"&lt;=3/31/2025",'Cats - 2025'!$J:$J,"Euthanized")</f>
        <v>51</v>
      </c>
      <c r="U5">
        <f>COUNTIFS('Cats - 2025'!$K:$K,"Unweaned",'Cats - 2025'!$E:$E,"&gt;=03/01/2025",'Cats - 2025'!$E:$E,"&lt;=3/31/2025",'Cats - 2025'!$J:$J,"Euthanized")</f>
        <v>19</v>
      </c>
      <c r="V5" s="9">
        <f t="shared" si="0"/>
        <v>82</v>
      </c>
    </row>
    <row r="6" spans="1:22" x14ac:dyDescent="0.2">
      <c r="A6" t="s">
        <v>339</v>
      </c>
      <c r="B6">
        <f>COUNTIFS('Cats - 2025'!$D:$D,"0-6 months",'Cats - 2025'!$E:$E,"&gt;=04/01/2025",'Cats - 2025'!$E:$E,"&lt;=4/30/2025")</f>
        <v>60</v>
      </c>
      <c r="C6">
        <f>COUNTIFS('Cats - 2025'!$D:$D,"6-12 months",'Cats - 2025'!$E:$E,"&gt;=04/01/2025",'Cats - 2025'!$E:$E,"&lt;=4/30/2025")</f>
        <v>0</v>
      </c>
      <c r="D6">
        <f>COUNTIFS('Cats - 2025'!$D:$D,"Adult",'Cats - 2025'!$E:$E,"&gt;=04/01/2025",'Cats - 2025'!$E:$E,"&lt;=4/30/2025")</f>
        <v>49</v>
      </c>
      <c r="E6">
        <f>COUNTIFS('Cats - 2025'!$D:$D,"Senior",'Cats - 2025'!$E:$E,"&gt;=04/01/2025",'Cats - 2025'!$E:$E,"&lt;=4/30/2025")</f>
        <v>1</v>
      </c>
      <c r="F6" s="9">
        <f t="shared" si="1"/>
        <v>110</v>
      </c>
      <c r="H6" t="s">
        <v>339</v>
      </c>
      <c r="I6">
        <f>COUNTIFS('Cats - 2025'!$D:$D,"0-6 months",'Cats - 2025'!$E:$E,"&gt;=04/01/2025",'Cats - 2025'!$E:$E,"&lt;=4/30/2025",'Cats - 2025'!$J:$J,"Euthanized")</f>
        <v>39</v>
      </c>
      <c r="J6">
        <f>COUNTIFS('Cats - 2025'!$D:$D,"6-12 months",'Cats - 2025'!$E:$E,"&gt;=04/01/2025",'Cats - 2025'!$E:$E,"&lt;=4/30/2025",'Cats - 2025'!$J:$J,"Euthanized")</f>
        <v>0</v>
      </c>
      <c r="K6">
        <f>COUNTIFS('Cats - 2025'!$D:$D,"Adult",'Cats - 2025'!$E:$E,"&gt;=04/01/2025",'Cats - 2025'!$E:$E,"&lt;=4/30/2025",'Cats - 2025'!$J:$J,"Euthanized")</f>
        <v>37</v>
      </c>
      <c r="L6">
        <f>COUNTIFS('Cats - 2025'!$D:$D,"Senior",'Cats - 2025'!$E:$E,"&gt;=04/01/2025",'Cats - 2025'!$E:$E,"&lt;=4/30/2025",'Cats - 2025'!$J:$J,"Euthanized")</f>
        <v>0</v>
      </c>
      <c r="M6" s="9">
        <f t="shared" si="2"/>
        <v>76</v>
      </c>
      <c r="N6" s="19">
        <f t="shared" si="3"/>
        <v>0.69090909090909092</v>
      </c>
      <c r="P6" t="s">
        <v>339</v>
      </c>
      <c r="Q6">
        <f>COUNTIFS('Cats - 2025'!$K:$K,"Feral",'Cats - 2025'!$E:$E,"&gt;=04/01/2025",'Cats - 2025'!$E:$E,"&lt;=4/30/2025",'Cats - 2025'!$J:$J,"Euthanized")</f>
        <v>1</v>
      </c>
      <c r="R6">
        <f>COUNTIFS('Cats - 2025'!$K:$K,"Injured/Sick",'Cats - 2025'!$E:$E,"&gt;=04/01/2025",'Cats - 2025'!$E:$E,"&lt;=4/30/2025",'Cats - 2025'!$J:$J,"Euthanized")</f>
        <v>11</v>
      </c>
      <c r="S6">
        <f>COUNTIFS('Cats - 2025'!$K:$K,"Owner Request",'Cats - 2025'!$E:$E,"&gt;=04/01/2025",'Cats - 2025'!$E:$E,"&lt;=4/30/2025",'Cats - 2025'!$J:$J,"Euthanized")</f>
        <v>0</v>
      </c>
      <c r="T6">
        <f>COUNTIFS('Cats - 2025'!$K:$K,"Space",'Cats - 2025'!$E:$E,"&gt;=04/01/2025",'Cats - 2025'!$E:$E,"&lt;=4/30/2025",'Cats - 2025'!$J:$J,"Euthanized")</f>
        <v>52</v>
      </c>
      <c r="U6">
        <f>COUNTIFS('Cats - 2025'!$K:$K,"Unweaned",'Cats - 2025'!$E:$E,"&gt;=04/01/2025",'Cats - 2025'!$E:$E,"&lt;=4/30/2025",'Cats - 2025'!$J:$J,"Euthanized")</f>
        <v>12</v>
      </c>
      <c r="V6" s="9">
        <f t="shared" si="0"/>
        <v>76</v>
      </c>
    </row>
    <row r="7" spans="1:22" x14ac:dyDescent="0.2">
      <c r="A7" t="s">
        <v>340</v>
      </c>
      <c r="B7">
        <f>COUNTIFS('Cats - 2025'!$D:$D,"0-6 months",'Cats - 2025'!$E:$E,"&gt;=05/01/2025",'Cats - 2025'!$E:$E,"&lt;=5/31/2025")</f>
        <v>156</v>
      </c>
      <c r="C7">
        <f>COUNTIFS('Cats - 2025'!$D:$D,"6-12 months",'Cats - 2025'!$E:$E,"&gt;=05/01/2025",'Cats - 2025'!$E:$E,"&lt;=5/31/2025")</f>
        <v>5</v>
      </c>
      <c r="D7">
        <f>COUNTIFS('Cats - 2025'!$D:$D,"Adult",'Cats - 2025'!$E:$E,"&gt;=05/01/2025",'Cats - 2025'!$E:$E,"&lt;=5/31/2025")</f>
        <v>64</v>
      </c>
      <c r="E7">
        <f>COUNTIFS('Cats - 2025'!$D:$D,"Senior",'Cats - 2025'!$E:$E,"&gt;=05/01/2025",'Cats - 2025'!$E:$E,"&lt;=5/31/2025")</f>
        <v>3</v>
      </c>
      <c r="F7" s="9">
        <f t="shared" si="1"/>
        <v>228</v>
      </c>
      <c r="H7" t="s">
        <v>340</v>
      </c>
      <c r="I7">
        <f>COUNTIFS('Cats - 2025'!$D:$D,"0-6 months",'Cats - 2025'!$E:$E,"&gt;=05/01/2025",'Cats - 2025'!$E:$E,"&lt;=5/31/2025",'Cats - 2025'!$J:$J,"Euthanized")</f>
        <v>110</v>
      </c>
      <c r="J7">
        <f>COUNTIFS('Cats - 2025'!$D:$D,"6-12 months",'Cats - 2025'!$E:$E,"&gt;=05/01/2025",'Cats - 2025'!$E:$E,"&lt;=5/31/2025",'Cats - 2025'!$J:$J,"Euthanized")</f>
        <v>3</v>
      </c>
      <c r="K7">
        <f>COUNTIFS('Cats - 2025'!$D:$D,"Adult",'Cats - 2025'!$E:$E,"&gt;=05/01/2025",'Cats - 2025'!$E:$E,"&lt;=5/31/2025",'Cats - 2025'!$J:$J,"Euthanized")</f>
        <v>46</v>
      </c>
      <c r="L7">
        <f>COUNTIFS('Cats - 2025'!$D:$D,"Senior",'Cats - 2025'!$E:$E,"&gt;=05/01/2025",'Cats - 2025'!$E:$E,"&lt;=5/31/2025",'Cats - 2025'!$J:$J,"Euthanized")</f>
        <v>3</v>
      </c>
      <c r="M7" s="9">
        <f t="shared" si="2"/>
        <v>162</v>
      </c>
      <c r="N7" s="19">
        <f t="shared" si="3"/>
        <v>0.71052631578947367</v>
      </c>
      <c r="P7" t="s">
        <v>340</v>
      </c>
      <c r="Q7">
        <f>COUNTIFS('Cats - 2025'!$K:$K,"Feral",'Cats - 2025'!$E:$E,"&gt;=05/01/2025",'Cats - 2025'!$E:$E,"&lt;=5/31/2025",'Cats - 2025'!$J:$J,"Euthanized")</f>
        <v>2</v>
      </c>
      <c r="R7">
        <f>COUNTIFS('Cats - 2025'!$K:$K,"Injured/Sick",'Cats - 2025'!$E:$E,"&gt;=05/01/2025",'Cats - 2025'!$E:$E,"&lt;=5/31/2025",'Cats - 2025'!$J:$J,"Euthanized")</f>
        <v>29</v>
      </c>
      <c r="S7">
        <f>COUNTIFS('Cats - 2025'!$K:$K,"Owner Request",'Cats - 2025'!$E:$E,"&gt;=05/01/2025",'Cats - 2025'!$E:$E,"&lt;=5/31/2025",'Cats - 2025'!$J:$J,"Euthanized")</f>
        <v>2</v>
      </c>
      <c r="T7">
        <f>COUNTIFS('Cats - 2025'!$K:$K,"Space",'Cats - 2025'!$E:$E,"&gt;=05/01/2025",'Cats - 2025'!$E:$E,"&lt;=5/31/2025",'Cats - 2025'!$J:$J,"Euthanized")</f>
        <v>121</v>
      </c>
      <c r="U7">
        <f>COUNTIFS('Cats - 2025'!$K:$K,"Unweaned",'Cats - 2025'!$E:$E,"&gt;=05/01/2025",'Cats - 2025'!$E:$E,"&lt;=5/31/2025",'Cats - 2025'!$J:$J,"Euthanized")</f>
        <v>8</v>
      </c>
      <c r="V7" s="9">
        <f t="shared" si="0"/>
        <v>162</v>
      </c>
    </row>
    <row r="8" spans="1:22" x14ac:dyDescent="0.2">
      <c r="A8" t="s">
        <v>341</v>
      </c>
      <c r="B8">
        <f>COUNTIFS('Cats - 2025'!$D:$D,"0-6 months",'Cats - 2025'!$E:$E,"&gt;=06/01/2025",'Cats - 2025'!$E:$E,"&lt;=6/30/2025")</f>
        <v>64</v>
      </c>
      <c r="C8">
        <f>COUNTIFS('Cats - 2025'!$D:$D,"6-12 months",'Cats - 2025'!$E:$E,"&gt;=06/01/2025",'Cats - 2025'!$E:$E,"&lt;=6/30/2025")</f>
        <v>6</v>
      </c>
      <c r="D8">
        <f>COUNTIFS('Cats - 2025'!$D:$D,"Adult",'Cats - 2025'!$E:$E,"&gt;=06/01/2025",'Cats - 2025'!$E:$E,"&lt;=6/30/2025")</f>
        <v>17</v>
      </c>
      <c r="E8">
        <f>COUNTIFS('Cats - 2025'!$D:$D,"Senior",'Cats - 2025'!$E:$E,"&gt;=06/01/2025",'Cats - 2025'!$E:$E,"&lt;=6/30/2025")</f>
        <v>2</v>
      </c>
      <c r="F8" s="9">
        <f t="shared" si="1"/>
        <v>89</v>
      </c>
      <c r="H8" t="s">
        <v>341</v>
      </c>
      <c r="I8">
        <f>COUNTIFS('Cats - 2025'!$D:$D,"0-6 months",'Cats - 2025'!$E:$E,"&gt;=06/01/2025",'Cats - 2025'!$E:$E,"&lt;=6/30/2025",'Cats - 2025'!$J:$J,"Euthanized")</f>
        <v>46</v>
      </c>
      <c r="J8">
        <f>COUNTIFS('Cats - 2025'!$D:$D,"6-12 months",'Cats - 2025'!$E:$E,"&gt;=06/01/2025",'Cats - 2025'!$E:$E,"&lt;=6/30/2025",'Cats - 2025'!$J:$J,"Euthanized")</f>
        <v>5</v>
      </c>
      <c r="K8">
        <f>COUNTIFS('Cats - 2025'!$D:$D,"Adult",'Cats - 2025'!$E:$E,"&gt;=06/01/2025",'Cats - 2025'!$E:$E,"&lt;=6/30/2025",'Cats - 2025'!$J:$J,"Euthanized")</f>
        <v>8</v>
      </c>
      <c r="L8">
        <f>COUNTIFS('Cats - 2025'!$D:$D,"Senior",'Cats - 2025'!$E:$E,"&gt;=06/01/2025",'Cats - 2025'!$E:$E,"&lt;=6/30/2025",'Cats - 2025'!$J:$J,"Euthanized")</f>
        <v>2</v>
      </c>
      <c r="M8" s="9">
        <f t="shared" si="2"/>
        <v>61</v>
      </c>
      <c r="N8" s="19">
        <f t="shared" si="3"/>
        <v>0.6853932584269663</v>
      </c>
      <c r="P8" t="s">
        <v>341</v>
      </c>
      <c r="Q8">
        <f>COUNTIFS('Cats - 2025'!$K:$K,"Feral",'Cats - 2025'!$E:$E,"&gt;=06/01/2025",'Cats - 2025'!$E:$E,"&lt;=6/30/2025",'Cats - 2025'!$J:$J,"Euthanized")</f>
        <v>0</v>
      </c>
      <c r="R8">
        <f>COUNTIFS('Cats - 2025'!$K:$K,"Injured/Sick",'Cats - 2025'!$E:$E,"&gt;=06/01/2025",'Cats - 2025'!$E:$E,"&lt;=6/30/2025",'Cats - 2025'!$J:$J,"Euthanized")</f>
        <v>11</v>
      </c>
      <c r="S8">
        <f>COUNTIFS('Cats - 2025'!$K:$K,"Owner Request",'Cats - 2025'!$E:$E,"&gt;=06/01/2025",'Cats - 2025'!$E:$E,"&lt;=6/30/2025",'Cats - 2025'!$J:$J,"Euthanized")</f>
        <v>1</v>
      </c>
      <c r="T8">
        <f>COUNTIFS('Cats - 2025'!$K:$K,"Space",'Cats - 2025'!$E:$E,"&gt;=06/01/2025",'Cats - 2025'!$E:$E,"&lt;=6/30/2025",'Cats - 2025'!$J:$J,"Euthanized")</f>
        <v>49</v>
      </c>
      <c r="U8">
        <f>COUNTIFS('Cats - 2025'!$K:$K,"Unweaned",'Cats - 2025'!$E:$E,"&gt;=06/01/2025",'Cats - 2025'!$E:$E,"&lt;=6/30/2025",'Cats - 2025'!$J:$J,"Euthanized")</f>
        <v>0</v>
      </c>
      <c r="V8" s="9">
        <f t="shared" si="0"/>
        <v>61</v>
      </c>
    </row>
    <row r="9" spans="1:22" x14ac:dyDescent="0.2">
      <c r="A9" t="s">
        <v>342</v>
      </c>
      <c r="B9">
        <f>COUNTIFS('Cats - 2025'!$D:$D,"0-6 months",'Cats - 2025'!$E:$E,"&gt;=07/01/2025",'Cats - 2025'!$E:$E,"&lt;=7/31/2025")</f>
        <v>120</v>
      </c>
      <c r="C9">
        <f>COUNTIFS('Cats - 2025'!$D:$D,"6-12 months",'Cats - 2025'!$E:$E,"&gt;=07/01/2025",'Cats - 2025'!$E:$E,"&lt;=7/31/2025")</f>
        <v>2</v>
      </c>
      <c r="D9">
        <f>COUNTIFS('Cats - 2025'!$D:$D,"Adult",'Cats - 2025'!$E:$E,"&gt;=07/01/2025",'Cats - 2025'!$E:$E,"&lt;=7/31/2025")</f>
        <v>42</v>
      </c>
      <c r="E9">
        <f>COUNTIFS('Cats - 2025'!$D:$D,"Senior",'Cats - 2025'!$E:$E,"&gt;=07/01/2025",'Cats - 2025'!$E:$E,"&lt;=7/31/2025")</f>
        <v>2</v>
      </c>
      <c r="F9" s="9">
        <f t="shared" si="1"/>
        <v>166</v>
      </c>
      <c r="H9" t="s">
        <v>342</v>
      </c>
      <c r="I9">
        <f>COUNTIFS('Cats - 2025'!$D:$D,"0-6 months",'Cats - 2025'!$E:$E,"&gt;=07/01/2025",'Cats - 2025'!$E:$E,"&lt;=7/31/2025",'Cats - 2025'!$J:$J,"Euthanized")</f>
        <v>92</v>
      </c>
      <c r="J9">
        <f>COUNTIFS('Cats - 2025'!$D:$D,"6-12 months",'Cats - 2025'!$E:$E,"&gt;=07/01/2025",'Cats - 2025'!$E:$E,"&lt;=7/31/2025",'Cats - 2025'!$J:$J,"Euthanized")</f>
        <v>2</v>
      </c>
      <c r="K9">
        <f>COUNTIFS('Cats - 2025'!$D:$D,"Adult",'Cats - 2025'!$E:$E,"&gt;=07/01/2025",'Cats - 2025'!$E:$E,"&lt;=7/31/2025",'Cats - 2025'!$J:$J,"Euthanized")</f>
        <v>35</v>
      </c>
      <c r="L9">
        <f>COUNTIFS('Cats - 2025'!$D:$D,"Senior",'Cats - 2025'!$E:$E,"&gt;=07/01/2025",'Cats - 2025'!$E:$E,"&lt;=7/31/2025",'Cats - 2025'!$J:$J,"Euthanized")</f>
        <v>2</v>
      </c>
      <c r="M9" s="9">
        <f t="shared" si="2"/>
        <v>131</v>
      </c>
      <c r="N9" s="19">
        <f t="shared" si="3"/>
        <v>0.78915662650602414</v>
      </c>
      <c r="P9" t="s">
        <v>342</v>
      </c>
      <c r="Q9">
        <f>COUNTIFS('Cats - 2025'!$K:$K,"Feral",'Cats - 2025'!$E:$E,"&gt;=07/01/2025",'Cats - 2025'!$E:$E,"&lt;=7/31/2025",'Cats - 2025'!$J:$J,"Euthanized")</f>
        <v>1</v>
      </c>
      <c r="R9">
        <f>COUNTIFS('Cats - 2025'!$K:$K,"Injured/Sick",'Cats - 2025'!$E:$E,"&gt;=07/01/2025",'Cats - 2025'!$E:$E,"&lt;=7/31/2025",'Cats - 2025'!$J:$J,"Euthanized")</f>
        <v>14</v>
      </c>
      <c r="S9">
        <f>COUNTIFS('Cats - 2025'!$K:$K,"Owner Request",'Cats - 2025'!$E:$E,"&gt;=07/01/2025",'Cats - 2025'!$E:$E,"&lt;=7/31/2025",'Cats - 2025'!$J:$J,"Euthanized")</f>
        <v>1</v>
      </c>
      <c r="T9">
        <f>COUNTIFS('Cats - 2025'!$K:$K,"Space",'Cats - 2025'!$E:$E,"&gt;=07/01/2025",'Cats - 2025'!$E:$E,"&lt;=7/31/2025",'Cats - 2025'!$J:$J,"Euthanized")</f>
        <v>103</v>
      </c>
      <c r="U9">
        <f>COUNTIFS('Cats - 2025'!$K:$K,"Unweaned",'Cats - 2025'!$E:$E,"&gt;=07/01/2025",'Cats - 2025'!$E:$E,"&lt;=7/31/2025",'Cats - 2025'!$J:$J,"Euthanized")</f>
        <v>12</v>
      </c>
      <c r="V9" s="9">
        <f t="shared" si="0"/>
        <v>131</v>
      </c>
    </row>
    <row r="10" spans="1:22" x14ac:dyDescent="0.2">
      <c r="A10" t="s">
        <v>343</v>
      </c>
      <c r="B10">
        <f>COUNTIFS('Cats - 2025'!$D:$D,"0-6 months",'Cats - 2025'!$E:$E,"&gt;=08/01/2025",'Cats - 2025'!$E:$E,"&lt;=8/31/2025")</f>
        <v>103</v>
      </c>
      <c r="C10">
        <f>COUNTIFS('Cats - 2025'!$D:$D,"6-12 months",'Cats - 2025'!$E:$E,"&gt;=08/01/2025",'Cats - 2025'!$E:$E,"&lt;=8/31/2025")</f>
        <v>11</v>
      </c>
      <c r="D10">
        <f>COUNTIFS('Cats - 2025'!$D:$D,"Adult",'Cats - 2025'!$E:$E,"&gt;=08/01/2025",'Cats - 2025'!$E:$E,"&lt;=8/31/2025")</f>
        <v>43</v>
      </c>
      <c r="E10">
        <f>COUNTIFS('Cats - 2025'!$D:$D,"Senior",'Cats - 2025'!$E:$E,"&gt;=08/01/2025",'Cats - 2025'!$E:$E,"&lt;=8/31/2025")</f>
        <v>0</v>
      </c>
      <c r="F10" s="9">
        <f t="shared" si="1"/>
        <v>157</v>
      </c>
      <c r="H10" t="s">
        <v>343</v>
      </c>
      <c r="I10">
        <f>COUNTIFS('Cats - 2025'!$D:$D,"0-6 months",'Cats - 2025'!$E:$E,"&gt;=08/01/2025",'Cats - 2025'!$E:$E,"&lt;=8/31/2025",'Cats - 2025'!$J:$J,"Euthanized")</f>
        <v>81</v>
      </c>
      <c r="J10">
        <f>COUNTIFS('Cats - 2025'!$D:$D,"6-12 months",'Cats - 2025'!$E:$E,"&gt;=08/01/2025",'Cats - 2025'!$E:$E,"&lt;=8/31/2025",'Cats - 2025'!$J:$J,"Euthanized")</f>
        <v>5</v>
      </c>
      <c r="K10">
        <f>COUNTIFS('Cats - 2025'!$D:$D,"Adult",'Cats - 2025'!$E:$E,"&gt;=08/01/2025",'Cats - 2025'!$E:$E,"&lt;=8/31/2025",'Cats - 2025'!$J:$J,"Euthanized")</f>
        <v>28</v>
      </c>
      <c r="L10">
        <f>COUNTIFS('Cats - 2025'!$D:$D,"Senior",'Cats - 2025'!$E:$E,"&gt;=08/01/2025",'Cats - 2025'!$E:$E,"&lt;=8/31/2025",'Cats - 2025'!$J:$J,"Euthanized")</f>
        <v>0</v>
      </c>
      <c r="M10" s="9">
        <f t="shared" si="2"/>
        <v>114</v>
      </c>
      <c r="N10" s="19">
        <f t="shared" si="3"/>
        <v>0.72611464968152861</v>
      </c>
      <c r="P10" t="s">
        <v>343</v>
      </c>
      <c r="Q10">
        <f>COUNTIFS('Cats - 2025'!$K:$K,"Feral",'Cats - 2025'!$E:$E,"&gt;=08/01/2025",'Cats - 2025'!$E:$E,"&lt;=8/31/2025",'Cats - 2025'!$J:$J,"Euthanized")</f>
        <v>12</v>
      </c>
      <c r="R10">
        <f>COUNTIFS('Cats - 2025'!$K:$K,"Injured/Sick",'Cats - 2025'!$E:$E,"&gt;=08/01/2025",'Cats - 2025'!$E:$E,"&lt;=8/31/2025",'Cats - 2025'!$J:$J,"Euthanized")</f>
        <v>19</v>
      </c>
      <c r="S10">
        <f>COUNTIFS('Cats - 2025'!$K:$K,"Owner Request",'Cats - 2025'!$E:$E,"&gt;=08/01/2025",'Cats - 2025'!$E:$E,"&lt;=8/31/2025",'Cats - 2025'!$J:$J,"Euthanized")</f>
        <v>0</v>
      </c>
      <c r="T10">
        <f>COUNTIFS('Cats - 2025'!$K:$K,"Space",'Cats - 2025'!$E:$E,"&gt;=08/01/2025",'Cats - 2025'!$E:$E,"&lt;=8/31/2025",'Cats - 2025'!$J:$J,"Euthanized")</f>
        <v>59</v>
      </c>
      <c r="U10">
        <f>COUNTIFS('Cats - 2025'!$K:$K,"Unweaned",'Cats - 2025'!$E:$E,"&gt;=08/01/2025",'Cats - 2025'!$E:$E,"&lt;=8/31/2025",'Cats - 2025'!$J:$J,"Euthanized")</f>
        <v>24</v>
      </c>
      <c r="V10" s="9">
        <f t="shared" si="0"/>
        <v>114</v>
      </c>
    </row>
    <row r="11" spans="1:22" x14ac:dyDescent="0.2">
      <c r="A11" t="s">
        <v>344</v>
      </c>
      <c r="B11">
        <f>COUNTIFS('Cats - 2025'!$D:$D,"0-6 months",'Cats - 2025'!$E:$E,"&gt;=09/01/2025",'Cats - 2025'!$E:$E,"&lt;=9/30/2025")</f>
        <v>0</v>
      </c>
      <c r="C11">
        <f>COUNTIFS('Cats - 2025'!$D:$D,"6-12 months",'Cats - 2025'!$E:$E,"&gt;=09/01/2025",'Cats - 2025'!$E:$E,"&lt;=9/30/2025")</f>
        <v>0</v>
      </c>
      <c r="D11">
        <f>COUNTIFS('Cats - 2025'!$D:$D,"Adult",'Cats - 2025'!$E:$E,"&gt;=09/01/2025",'Cats - 2025'!$E:$E,"&lt;=9/30/2025")</f>
        <v>0</v>
      </c>
      <c r="E11">
        <f>COUNTIFS('Cats - 2025'!$D:$D,"Senior",'Cats - 2025'!$E:$E,"&gt;=09/01/2025",'Cats - 2025'!$E:$E,"&lt;=9/30/2025")</f>
        <v>0</v>
      </c>
      <c r="F11" s="9">
        <f t="shared" si="1"/>
        <v>0</v>
      </c>
      <c r="H11" t="s">
        <v>344</v>
      </c>
      <c r="I11">
        <f>COUNTIFS('Cats - 2025'!$D:$D,"0-6 months",'Cats - 2025'!$E:$E,"&gt;=09/01/2025",'Cats - 2025'!$E:$E,"&lt;=9/30/2025",'Cats - 2025'!$J:$J,"Euthanized")</f>
        <v>0</v>
      </c>
      <c r="J11">
        <f>COUNTIFS('Cats - 2025'!$D:$D,"6-12 months",'Cats - 2025'!$E:$E,"&gt;=09/01/2025",'Cats - 2025'!$E:$E,"&lt;=9/30/2025",'Cats - 2025'!$J:$J,"Euthanized")</f>
        <v>0</v>
      </c>
      <c r="K11">
        <f>COUNTIFS('Cats - 2025'!$D:$D,"Adult",'Cats - 2025'!$E:$E,"&gt;=09/01/2025",'Cats - 2025'!$E:$E,"&lt;=9/30/2025",'Cats - 2025'!$J:$J,"Euthanized")</f>
        <v>0</v>
      </c>
      <c r="L11">
        <f>COUNTIFS('Cats - 2025'!$D:$D,"Senior",'Cats - 2025'!$E:$E,"&gt;=09/01/2025",'Cats - 2025'!$E:$E,"&lt;=9/30/2025",'Cats - 2025'!$J:$J,"Euthanized")</f>
        <v>0</v>
      </c>
      <c r="M11" s="9">
        <f t="shared" si="2"/>
        <v>0</v>
      </c>
      <c r="N11" s="19"/>
      <c r="P11" t="s">
        <v>344</v>
      </c>
      <c r="Q11">
        <f>COUNTIFS('Cats - 2025'!$K:$K,"Feral",'Cats - 2025'!$E:$E,"&gt;=09/01/2025",'Cats - 2025'!$E:$E,"&lt;=9/30/2025",'Cats - 2025'!$J:$J,"Euthanized")</f>
        <v>0</v>
      </c>
      <c r="R11">
        <f>COUNTIFS('Cats - 2025'!$K:$K,"Injured/Sick",'Cats - 2025'!$E:$E,"&gt;=09/01/2025",'Cats - 2025'!$E:$E,"&lt;=9/30/2025",'Cats - 2025'!$J:$J,"Euthanized")</f>
        <v>0</v>
      </c>
      <c r="S11">
        <f>COUNTIFS('Cats - 2025'!$K:$K,"Owner Request",'Cats - 2025'!$E:$E,"&gt;=09/01/2025",'Cats - 2025'!$E:$E,"&lt;=9/30/2025",'Cats - 2025'!$J:$J,"Euthanized")</f>
        <v>0</v>
      </c>
      <c r="T11">
        <f>COUNTIFS('Cats - 2025'!$K:$K,"Space",'Cats - 2025'!$E:$E,"&gt;=09/01/2025",'Cats - 2025'!$E:$E,"&lt;=9/30/2025",'Cats - 2025'!$J:$J,"Euthanized")</f>
        <v>0</v>
      </c>
      <c r="U11">
        <f>COUNTIFS('Cats - 2025'!$K:$K,"Unweaned",'Cats - 2025'!$E:$E,"&gt;=09/01/2025",'Cats - 2025'!$E:$E,"&lt;=9/30/2025",'Cats - 2025'!$J:$J,"Euthanized")</f>
        <v>0</v>
      </c>
      <c r="V11" s="9">
        <f t="shared" si="0"/>
        <v>0</v>
      </c>
    </row>
    <row r="12" spans="1:22" x14ac:dyDescent="0.2">
      <c r="A12" t="s">
        <v>345</v>
      </c>
      <c r="B12">
        <f>COUNTIFS('Cats - 2025'!$D:$D,"0-6 months",'Cats - 2025'!$E:$E,"&gt;=10/01/2025",'Cats - 2025'!$E:$E,"&lt;=10/31/2025")</f>
        <v>0</v>
      </c>
      <c r="C12">
        <f>COUNTIFS('Cats - 2025'!$D:$D,"6-12 months",'Cats - 2025'!$E:$E,"&gt;=10/01/2025",'Cats - 2025'!$E:$E,"&lt;=10/31/2025")</f>
        <v>0</v>
      </c>
      <c r="D12">
        <f>COUNTIFS('Cats - 2025'!$D:$D,"Adult",'Cats - 2025'!$E:$E,"&gt;=10/01/2025",'Cats - 2025'!$E:$E,"&lt;=10/31/2025")</f>
        <v>0</v>
      </c>
      <c r="E12">
        <f>COUNTIFS('Cats - 2025'!$D:$D,"Senior",'Cats - 2025'!$E:$E,"&gt;=10/01/2025",'Cats - 2025'!$E:$E,"&lt;=10/31/2025")</f>
        <v>0</v>
      </c>
      <c r="F12" s="9">
        <f t="shared" si="1"/>
        <v>0</v>
      </c>
      <c r="H12" t="s">
        <v>345</v>
      </c>
      <c r="I12">
        <f>COUNTIFS('Cats - 2025'!$D:$D,"0-6 months",'Cats - 2025'!$E:$E,"&gt;=10/01/2025",'Cats - 2025'!$E:$E,"&lt;=10/31/2025",'Cats - 2025'!$J:$J,"Euthanized")</f>
        <v>0</v>
      </c>
      <c r="J12">
        <f>COUNTIFS('Cats - 2025'!$D:$D,"6-12 months",'Cats - 2025'!$E:$E,"&gt;=10/01/2025",'Cats - 2025'!$E:$E,"&lt;=10/31/2025",'Cats - 2025'!$J:$J,"Euthanized")</f>
        <v>0</v>
      </c>
      <c r="K12">
        <f>COUNTIFS('Cats - 2025'!$D:$D,"Adult",'Cats - 2025'!$E:$E,"&gt;=10/01/2025",'Cats - 2025'!$E:$E,"&lt;=10/31/2025",'Cats - 2025'!$J:$J,"Euthanized")</f>
        <v>0</v>
      </c>
      <c r="L12">
        <f>COUNTIFS('Cats - 2025'!$D:$D,"Senior",'Cats - 2025'!$E:$E,"&gt;=10/01/2025",'Cats - 2025'!$E:$E,"&lt;=10/31/2025",'Cats - 2025'!$J:$J,"Euthanized")</f>
        <v>0</v>
      </c>
      <c r="M12" s="9">
        <f t="shared" si="2"/>
        <v>0</v>
      </c>
      <c r="N12" s="19"/>
      <c r="P12" t="s">
        <v>345</v>
      </c>
      <c r="Q12">
        <f>COUNTIFS('Cats - 2025'!$K:$K,"Feral",'Cats - 2025'!$E:$E,"&gt;=10/01/2025",'Cats - 2025'!$E:$E,"&lt;=10/31/2025",'Cats - 2025'!$J:$J,"Euthanized")</f>
        <v>0</v>
      </c>
      <c r="R12">
        <f>COUNTIFS('Cats - 2025'!$K:$K,"Injured/Sick",'Cats - 2025'!$E:$E,"&gt;=10/01/2025",'Cats - 2025'!$E:$E,"&lt;=10/31/2025",'Cats - 2025'!$J:$J,"Euthanized")</f>
        <v>0</v>
      </c>
      <c r="S12">
        <f>COUNTIFS('Cats - 2025'!$K:$K,"Owner Request",'Cats - 2025'!$E:$E,"&gt;=10/01/2025",'Cats - 2025'!$E:$E,"&lt;=10/31/2025",'Cats - 2025'!$J:$J,"Euthanized")</f>
        <v>0</v>
      </c>
      <c r="T12">
        <f>COUNTIFS('Cats - 2025'!$K:$K,"Space",'Cats - 2025'!$E:$E,"&gt;=10/01/2025",'Cats - 2025'!$E:$E,"&lt;=10/31/2025",'Cats - 2025'!$J:$J,"Euthanized")</f>
        <v>0</v>
      </c>
      <c r="U12">
        <f>COUNTIFS('Cats - 2025'!$K:$K,"Unweaned",'Cats - 2025'!$E:$E,"&gt;=10/01/2025",'Cats - 2025'!$E:$E,"&lt;=10/31/2025",'Cats - 2025'!$J:$J,"Euthanized")</f>
        <v>0</v>
      </c>
      <c r="V12" s="9">
        <f t="shared" si="0"/>
        <v>0</v>
      </c>
    </row>
    <row r="13" spans="1:22" x14ac:dyDescent="0.2">
      <c r="A13" t="s">
        <v>346</v>
      </c>
      <c r="B13">
        <f>COUNTIFS('Cats - 2025'!$D:$D,"0-6 months",'Cats - 2025'!$E:$E,"&gt;=11/01/2025",'Cats - 2025'!$E:$E,"&lt;=11/30/2025")</f>
        <v>0</v>
      </c>
      <c r="C13">
        <f>COUNTIFS('Cats - 2025'!$D:$D,"6-12 months",'Cats - 2025'!$E:$E,"&gt;=11/01/2025",'Cats - 2025'!$E:$E,"&lt;=11/30/2025")</f>
        <v>0</v>
      </c>
      <c r="D13">
        <f>COUNTIFS('Cats - 2025'!$D:$D,"Adult",'Cats - 2025'!$E:$E,"&gt;=11/01/2025",'Cats - 2025'!$E:$E,"&lt;=11/30/2025")</f>
        <v>0</v>
      </c>
      <c r="E13">
        <f>COUNTIFS('Cats - 2025'!$D:$D,"Senior",'Cats - 2025'!$E:$E,"&gt;=11/01/2025",'Cats - 2025'!$E:$E,"&lt;=11/30/2025")</f>
        <v>0</v>
      </c>
      <c r="F13" s="9">
        <f t="shared" si="1"/>
        <v>0</v>
      </c>
      <c r="H13" t="s">
        <v>346</v>
      </c>
      <c r="I13">
        <f>COUNTIFS('Cats - 2025'!$D:$D,"0-6 months",'Cats - 2025'!$E:$E,"&gt;=11/01/2025",'Cats - 2025'!$E:$E,"&lt;=11/30/2025",'Cats - 2025'!$J:$J,"Euthanized")</f>
        <v>0</v>
      </c>
      <c r="J13">
        <f>COUNTIFS('Cats - 2025'!$D:$D,"6-12 months",'Cats - 2025'!$E:$E,"&gt;=11/01/2025",'Cats - 2025'!$E:$E,"&lt;=11/30/2025",'Cats - 2025'!$J:$J,"Euthanized")</f>
        <v>0</v>
      </c>
      <c r="K13">
        <f>COUNTIFS('Cats - 2025'!$D:$D,"Adult",'Cats - 2025'!$E:$E,"&gt;=11/01/2025",'Cats - 2025'!$E:$E,"&lt;=11/30/2025",'Cats - 2025'!$J:$J,"Euthanized")</f>
        <v>0</v>
      </c>
      <c r="L13">
        <f>COUNTIFS('Cats - 2025'!$D:$D,"Senior",'Cats - 2025'!$E:$E,"&gt;=11/01/2025",'Cats - 2025'!$E:$E,"&lt;=11/30/2025",'Cats - 2025'!$J:$J,"Euthanized")</f>
        <v>0</v>
      </c>
      <c r="M13" s="9">
        <f t="shared" si="2"/>
        <v>0</v>
      </c>
      <c r="N13" s="19"/>
      <c r="P13" t="s">
        <v>346</v>
      </c>
      <c r="Q13">
        <f>COUNTIFS('Cats - 2025'!$K:$K,"Feral",'Cats - 2025'!$E:$E,"&gt;=11/01/2025",'Cats - 2025'!$E:$E,"&lt;=11/31/2025",'Cats - 2025'!$J:$J,"Euthanized")</f>
        <v>0</v>
      </c>
      <c r="R13">
        <f>COUNTIFS('Cats - 2025'!$K:$K,"Injured/Sick",'Cats - 2025'!$E:$E,"&gt;=11/01/2025",'Cats - 2025'!$E:$E,"&lt;=11/31/2025",'Cats - 2025'!$J:$J,"Euthanized")</f>
        <v>0</v>
      </c>
      <c r="S13">
        <f>COUNTIFS('Cats - 2025'!$K:$K,"Owner Request",'Cats - 2025'!$E:$E,"&gt;=11/01/2025",'Cats - 2025'!$E:$E,"&lt;=11/31/2025",'Cats - 2025'!$J:$J,"Euthanized")</f>
        <v>0</v>
      </c>
      <c r="T13">
        <f>COUNTIFS('Cats - 2025'!$K:$K,"Space",'Cats - 2025'!$E:$E,"&gt;=11/01/2025",'Cats - 2025'!$E:$E,"&lt;=11/31/2025",'Cats - 2025'!$J:$J,"Euthanized")</f>
        <v>0</v>
      </c>
      <c r="U13">
        <f>COUNTIFS('Cats - 2025'!$K:$K,"Unweaned",'Cats - 2025'!$E:$E,"&gt;=11/01/2025",'Cats - 2025'!$E:$E,"&lt;=11/31/2025",'Cats - 2025'!$J:$J,"Euthanized")</f>
        <v>0</v>
      </c>
      <c r="V13" s="9">
        <f t="shared" si="0"/>
        <v>0</v>
      </c>
    </row>
    <row r="14" spans="1:22" x14ac:dyDescent="0.2">
      <c r="A14" t="s">
        <v>347</v>
      </c>
      <c r="B14">
        <f>COUNTIFS('Cats - 2025'!$D:$D,"0-6 months",'Cats - 2025'!$E:$E,"&gt;=12/01/2025",'Cats - 2025'!$E:$E,"&lt;=12/31/2025")</f>
        <v>0</v>
      </c>
      <c r="C14">
        <f>COUNTIFS('Cats - 2025'!$D:$D,"6-12 months",'Cats - 2025'!$E:$E,"&gt;=12/01/2025",'Cats - 2025'!$E:$E,"&lt;=12/31/2025")</f>
        <v>0</v>
      </c>
      <c r="D14">
        <f>COUNTIFS('Cats - 2025'!$D:$D,"Adult",'Cats - 2025'!$E:$E,"&gt;=12/01/2025",'Cats - 2025'!$E:$E,"&lt;=12/31/2025")</f>
        <v>0</v>
      </c>
      <c r="E14">
        <f>COUNTIFS('Cats - 2025'!$D:$D,"Senior",'Cats - 2025'!$E:$E,"&gt;=12/01/2025",'Cats - 2025'!$E:$E,"&lt;=12/31/2025")</f>
        <v>0</v>
      </c>
      <c r="F14" s="9">
        <f t="shared" si="1"/>
        <v>0</v>
      </c>
      <c r="H14" t="s">
        <v>347</v>
      </c>
      <c r="I14">
        <f>COUNTIFS('Cats - 2025'!$D:$D,"0-6 months",'Cats - 2025'!$E:$E,"&gt;=12/01/2025",'Cats - 2025'!$E:$E,"&lt;=12/31/2025",'Cats - 2025'!$J:$J,"Euthanized")</f>
        <v>0</v>
      </c>
      <c r="J14">
        <f>COUNTIFS('Cats - 2025'!$D:$D,"6-12 months",'Cats - 2025'!$E:$E,"&gt;=12/01/2025",'Cats - 2025'!$E:$E,"&lt;=12/31/2025",'Cats - 2025'!$J:$J,"Euthanized")</f>
        <v>0</v>
      </c>
      <c r="K14">
        <f>COUNTIFS('Cats - 2025'!$D:$D,"Adult",'Cats - 2025'!$E:$E,"&gt;=12/01/2025",'Cats - 2025'!$E:$E,"&lt;=12/31/2025",'Cats - 2025'!$J:$J,"Euthanized")</f>
        <v>0</v>
      </c>
      <c r="L14">
        <f>COUNTIFS('Cats - 2025'!$D:$D,"Senior",'Cats - 2025'!$E:$E,"&gt;=12/01/2025",'Cats - 2025'!$E:$E,"&lt;=12/31/2025",'Cats - 2025'!$J:$J,"Euthanized")</f>
        <v>0</v>
      </c>
      <c r="M14" s="9">
        <f t="shared" si="2"/>
        <v>0</v>
      </c>
      <c r="N14" s="19"/>
      <c r="P14" t="s">
        <v>347</v>
      </c>
      <c r="Q14">
        <f>COUNTIFS('Cats - 2025'!$K:$K,"Feral",'Cats - 2025'!$E:$E,"&gt;=12/01/2025",'Cats - 2025'!$E:$E,"&lt;=12/30/2025",'Cats - 2025'!$J:$J,"Euthanized")</f>
        <v>0</v>
      </c>
      <c r="R14">
        <f>COUNTIFS('Cats - 2025'!$K:$K,"Injured/Sick",'Cats - 2025'!$E:$E,"&gt;=12/01/2025",'Cats - 2025'!$E:$E,"&lt;=12/30/2025",'Cats - 2025'!$J:$J,"Euthanized")</f>
        <v>0</v>
      </c>
      <c r="S14">
        <f>COUNTIFS('Cats - 2025'!$K:$K,"Owner Request",'Cats - 2025'!$E:$E,"&gt;=12/01/2025",'Cats - 2025'!$E:$E,"&lt;=12/30/2025",'Cats - 2025'!$J:$J,"Euthanized")</f>
        <v>0</v>
      </c>
      <c r="T14">
        <f>COUNTIFS('Cats - 2025'!$K:$K,"Space",'Cats - 2025'!$E:$E,"&gt;=12/01/2025",'Cats - 2025'!$E:$E,"&lt;=12/30/2025",'Cats - 2025'!$J:$J,"Euthanized")</f>
        <v>0</v>
      </c>
      <c r="U14">
        <f>COUNTIFS('Cats - 2025'!$K:$K,"Unweaned",'Cats - 2025'!$E:$E,"&gt;=12/01/2025",'Cats - 2025'!$E:$E,"&lt;=12/30/2025",'Cats - 2025'!$J:$J,"Euthanized")</f>
        <v>0</v>
      </c>
      <c r="V14" s="9">
        <f t="shared" si="0"/>
        <v>0</v>
      </c>
    </row>
    <row r="15" spans="1:22" x14ac:dyDescent="0.2">
      <c r="A15" s="12"/>
      <c r="B15" s="12">
        <f>SUM(B3:B14)</f>
        <v>578</v>
      </c>
      <c r="C15" s="12">
        <f>SUM(C3:C14)</f>
        <v>56</v>
      </c>
      <c r="D15" s="12">
        <f>SUM(D3:D14)</f>
        <v>358</v>
      </c>
      <c r="E15" s="12">
        <f>SUM(E3:E14)</f>
        <v>15</v>
      </c>
      <c r="F15" s="12">
        <f>SUM(F3:F14)</f>
        <v>1007</v>
      </c>
      <c r="H15" s="12"/>
      <c r="I15" s="12">
        <f>SUM(I3:I14)</f>
        <v>408</v>
      </c>
      <c r="J15" s="12">
        <f>SUM(J3:J14)</f>
        <v>34</v>
      </c>
      <c r="K15" s="12">
        <f>SUM(K3:K14)</f>
        <v>254</v>
      </c>
      <c r="L15" s="12">
        <f>SUM(L3:L14)</f>
        <v>14</v>
      </c>
      <c r="M15" s="12">
        <f>SUM(M3:M14)</f>
        <v>710</v>
      </c>
      <c r="N15" s="12"/>
      <c r="P15" s="12"/>
      <c r="Q15" s="12">
        <f t="shared" ref="Q15:V15" si="4">SUM(Q3:Q14)</f>
        <v>29</v>
      </c>
      <c r="R15" s="12">
        <f t="shared" si="4"/>
        <v>99</v>
      </c>
      <c r="S15" s="12">
        <f t="shared" si="4"/>
        <v>7</v>
      </c>
      <c r="T15" s="12">
        <f t="shared" si="4"/>
        <v>500</v>
      </c>
      <c r="U15" s="12">
        <f t="shared" si="4"/>
        <v>75</v>
      </c>
      <c r="V15" s="12">
        <f t="shared" si="4"/>
        <v>710</v>
      </c>
    </row>
    <row r="17" spans="1:17" ht="35" customHeight="1" x14ac:dyDescent="0.2">
      <c r="A17" s="40" t="s">
        <v>18</v>
      </c>
      <c r="B17" s="40"/>
      <c r="C17" s="40"/>
      <c r="D17" s="40"/>
      <c r="E17" s="40"/>
      <c r="F17" s="16">
        <f>F31/F15</f>
        <v>0.20258192651439921</v>
      </c>
      <c r="G17" s="18"/>
      <c r="H17" s="40" t="s">
        <v>11</v>
      </c>
      <c r="I17" s="40"/>
      <c r="J17" s="40"/>
      <c r="K17" s="40"/>
      <c r="L17" s="40"/>
      <c r="M17" s="16">
        <f>M31/$F$15</f>
        <v>4.5680238331678252E-2</v>
      </c>
      <c r="P17" s="32" t="s">
        <v>31</v>
      </c>
      <c r="Q17" s="32"/>
    </row>
    <row r="18" spans="1:17" x14ac:dyDescent="0.2">
      <c r="A18" s="8"/>
      <c r="B18" s="13" t="s">
        <v>208</v>
      </c>
      <c r="C18" s="13" t="s">
        <v>209</v>
      </c>
      <c r="D18" s="13" t="s">
        <v>207</v>
      </c>
      <c r="E18" s="13" t="s">
        <v>210</v>
      </c>
      <c r="F18" s="14" t="s">
        <v>201</v>
      </c>
      <c r="H18" s="8"/>
      <c r="I18" s="13" t="s">
        <v>208</v>
      </c>
      <c r="J18" s="13" t="s">
        <v>209</v>
      </c>
      <c r="K18" s="13" t="s">
        <v>207</v>
      </c>
      <c r="L18" s="13" t="s">
        <v>210</v>
      </c>
      <c r="M18" s="14" t="s">
        <v>201</v>
      </c>
      <c r="P18" s="8"/>
      <c r="Q18" s="13"/>
    </row>
    <row r="19" spans="1:17" x14ac:dyDescent="0.2">
      <c r="A19" t="s">
        <v>336</v>
      </c>
      <c r="B19">
        <f>COUNTIFS('Cats - 2025'!$D:$D,"0-6 months",'Cats - 2025'!$E:$E,"&gt;=01/01/2025",'Cats - 2025'!$E:$E,"&lt;=1/31/2025",'Cats - 2025'!$J:$J,"Transferred")</f>
        <v>5</v>
      </c>
      <c r="C19">
        <f>COUNTIFS('Cats - 2025'!$D:$D,"6-12 months",'Cats - 2025'!$E:$E,"&gt;=01/01/2025",'Cats - 2025'!$E:$E,"&lt;=1/31/2025",'Cats - 2025'!$J:$J,"Transferred")</f>
        <v>3</v>
      </c>
      <c r="D19">
        <f>COUNTIFS('Cats - 2025'!$D:$D,"Adult",'Cats - 2025'!$E:$E,"&gt;=01/01/2025",'Cats - 2025'!$E:$E,"&lt;=1/31/2025",'Cats - 2025'!$J:$J,"Transferred")</f>
        <v>10</v>
      </c>
      <c r="E19">
        <f>COUNTIFS('Cats - 2025'!$D:$D,"Senior",'Cats - 2025'!$E:$E,"&gt;=01/01/2025",'Cats - 2025'!$E:$E,"&lt;=1/31/2025",'Cats - 2025'!$J:$J,"Transferred")</f>
        <v>0</v>
      </c>
      <c r="F19" s="9">
        <f>SUM(B19:E19)</f>
        <v>18</v>
      </c>
      <c r="H19" t="s">
        <v>336</v>
      </c>
      <c r="I19">
        <f>COUNTIFS('Cats - 2025'!$D:$D,"0-6 months",'Cats - 2025'!$E:$E,"&gt;=01/01/2025",'Cats - 2025'!$E:$E,"&lt;=1/31/2025",'Cats - 2025'!$J:$J,"Adopted")</f>
        <v>3</v>
      </c>
      <c r="J19">
        <f>COUNTIFS('Cats - 2025'!$D:$D,"6-12 months",'Cats - 2025'!$E:$E,"&gt;=01/01/2025",'Cats - 2025'!$E:$E,"&lt;=1/31/2025",'Cats - 2025'!$J:$J,"Adopted")</f>
        <v>0</v>
      </c>
      <c r="K19">
        <f>COUNTIFS('Cats - 2025'!$D:$D,"Adult",'Cats - 2025'!$E:$E,"&gt;=01/01/2025",'Cats - 2025'!$E:$E,"&lt;=1/31/2025",'Cats - 2025'!$J:$J,"Adopted")</f>
        <v>1</v>
      </c>
      <c r="L19">
        <f>COUNTIFS('Cats - 2025'!$D:$D,"Senior",'Cats - 2025'!$E:$E,"&gt;=01/01/2025",'Cats - 2025'!$E:$E,"&lt;=1/31/2025",'Cats - 2025'!$J:$J,"Adopted")</f>
        <v>0</v>
      </c>
      <c r="M19" s="9">
        <f>SUM(I19:L19)</f>
        <v>4</v>
      </c>
      <c r="P19" t="s">
        <v>615</v>
      </c>
      <c r="Q19">
        <f>COUNTIFS('Cats - 2025'!$AD:$AD,'Cat Report'!P19,'Cats - 2025'!$J:$J,"Euthanized")</f>
        <v>119</v>
      </c>
    </row>
    <row r="20" spans="1:17" x14ac:dyDescent="0.2">
      <c r="A20" t="s">
        <v>337</v>
      </c>
      <c r="B20">
        <f>COUNTIFS('Cats - 2025'!$D:$D,"0-6 months",'Cats - 2025'!$E:$E,"&gt;=02/01/2025",'Cats - 2025'!$E:$E,"&lt;=2/28/2025",'Cats - 2025'!$J:$J,"Transferred")</f>
        <v>9</v>
      </c>
      <c r="C20">
        <f>COUNTIFS('Cats - 2025'!$D:$D,"6-12 months",'Cats - 2025'!$E:$E,"&gt;=02/01/2025",'Cats - 2025'!$E:$E,"&lt;=2/28/2025",'Cats - 2025'!$J:$J,"Transferred")</f>
        <v>4</v>
      </c>
      <c r="D20">
        <f>COUNTIFS('Cats - 2025'!$D:$D,"Adult",'Cats - 2025'!$E:$E,"&gt;=02/01/2025",'Cats - 2025'!$E:$E,"&lt;=2/28/2025",'Cats - 2025'!$J:$J,"Transferred")</f>
        <v>9</v>
      </c>
      <c r="E20">
        <f>COUNTIFS('Cats - 2025'!$D:$D,"Senior",'Cats - 2025'!$E:$E,"&gt;=02/01/2025",'Cats - 2025'!$E:$E,"&lt;=2/28/2025",'Cats - 2025'!$J:$J,"Transferred")</f>
        <v>0</v>
      </c>
      <c r="F20" s="9">
        <f t="shared" ref="F20:F30" si="5">SUM(B20:E20)</f>
        <v>22</v>
      </c>
      <c r="H20" t="s">
        <v>337</v>
      </c>
      <c r="I20">
        <f>COUNTIFS('Cats - 2025'!$D:$D,"0-6 months",'Cats - 2025'!$E:$E,"&gt;=02/01/2025",'Cats - 2025'!$E:$E,"&lt;=2/28/2025",'Cats - 2025'!$J:$J,"Adopted")</f>
        <v>3</v>
      </c>
      <c r="J20">
        <f>COUNTIFS('Cats - 2025'!$D:$D,"6-12 months",'Cats - 2025'!$E:$E,"&gt;=02/01/2025",'Cats - 2025'!$E:$E,"&lt;=2/28/2025",'Cats - 2025'!$J:$J,"Adopted")</f>
        <v>1</v>
      </c>
      <c r="K20">
        <f>COUNTIFS('Cats - 2025'!$D:$D,"Adult",'Cats - 2025'!$E:$E,"&gt;=02/01/2025",'Cats - 2025'!$E:$E,"&lt;=2/28/2025",'Cats - 2025'!$J:$J,"Adopted")</f>
        <v>1</v>
      </c>
      <c r="L20">
        <f>COUNTIFS('Cats - 2025'!$D:$D,"Senior",'Cats - 2025'!$E:$E,"&gt;=02/01/2025",'Cats - 2025'!$E:$E,"&lt;=2/28/2025",'Cats - 2025'!$J:$J,"Adopted")</f>
        <v>0</v>
      </c>
      <c r="M20" s="9">
        <f t="shared" ref="M20:M30" si="6">SUM(I20:L20)</f>
        <v>5</v>
      </c>
      <c r="P20" t="s">
        <v>616</v>
      </c>
      <c r="Q20">
        <f>COUNTIFS('Cats - 2025'!$AD:$AD,'Cat Report'!P20,'Cats - 2025'!$J:$J,"Euthanized")</f>
        <v>133</v>
      </c>
    </row>
    <row r="21" spans="1:17" x14ac:dyDescent="0.2">
      <c r="A21" t="s">
        <v>338</v>
      </c>
      <c r="B21">
        <f>COUNTIFS('Cats - 2025'!$D:$D,"0-6 months",'Cats - 2025'!$E:$E,"&gt;=03/01/2025",'Cats - 2025'!$E:$E,"&lt;=3/31/2025",'Cats - 2025'!$J:$J,"Transferred")</f>
        <v>9</v>
      </c>
      <c r="C21">
        <f>COUNTIFS('Cats - 2025'!$D:$D,"6-12 months",'Cats - 2025'!$E:$E,"&gt;=03/01/2025",'Cats - 2025'!$E:$E,"&lt;=3/31/2025",'Cats - 2025'!$J:$J,"Transferred")</f>
        <v>5</v>
      </c>
      <c r="D21">
        <f>COUNTIFS('Cats - 2025'!$D:$D,"Adult",'Cats - 2025'!$E:$E,"&gt;=03/01/2025",'Cats - 2025'!$E:$E,"&lt;=3/31/2025",'Cats - 2025'!$J:$J,"Transferred")</f>
        <v>18</v>
      </c>
      <c r="E21">
        <f>COUNTIFS('Cats - 2025'!$D:$D,"Senior",'Cats - 2025'!$E:$E,"&gt;=03/01/2025",'Cats - 2025'!$E:$E,"&lt;=3/31/2025",'Cats - 2025'!$J:$J,"Transferred")</f>
        <v>0</v>
      </c>
      <c r="F21" s="9">
        <f t="shared" si="5"/>
        <v>32</v>
      </c>
      <c r="H21" t="s">
        <v>338</v>
      </c>
      <c r="I21">
        <f>COUNTIFS('Cats - 2025'!$D:$D,"0-6 months",'Cats - 2025'!$E:$E,"&gt;=03/01/2025",'Cats - 2025'!$E:$E,"&lt;=3/31/2025",'Cats - 2025'!$J:$J,"Adopted")</f>
        <v>3</v>
      </c>
      <c r="J21">
        <f>COUNTIFS('Cats - 2025'!$D:$D,"6-12 months",'Cats - 2025'!$E:$E,"&gt;=03/01/2025",'Cats - 2025'!$E:$E,"&lt;=3/31/2025",'Cats - 2025'!$J:$J,"Adopted")</f>
        <v>0</v>
      </c>
      <c r="K21">
        <f>COUNTIFS('Cats - 2025'!$D:$D,"Adult",'Cats - 2025'!$E:$E,"&gt;=03/01/2025",'Cats - 2025'!$E:$E,"&lt;=3/31/2025",'Cats - 2025'!$J:$J,"Adopted")</f>
        <v>2</v>
      </c>
      <c r="L21">
        <f>COUNTIFS('Cats - 2025'!$D:$D,"Senior",'Cats - 2025'!$E:$E,"&gt;=03/01/2025",'Cats - 2025'!$E:$E,"&lt;=3/31/2025",'Cats - 2025'!$J:$J,"Adopted")</f>
        <v>0</v>
      </c>
      <c r="M21" s="9">
        <f t="shared" si="6"/>
        <v>5</v>
      </c>
      <c r="P21" t="s">
        <v>14</v>
      </c>
      <c r="Q21">
        <f>COUNTIFS('Cats - 2025'!$AD:$AD,'Cat Report'!P21,'Cats - 2025'!$J:$J,"Euthanized")</f>
        <v>125</v>
      </c>
    </row>
    <row r="22" spans="1:17" x14ac:dyDescent="0.2">
      <c r="A22" t="s">
        <v>339</v>
      </c>
      <c r="B22">
        <f>COUNTIFS('Cats - 2025'!$D:$D,"0-6 months",'Cats - 2025'!$E:$E,"&gt;=04/01/2025",'Cats - 2025'!$E:$E,"&lt;=4/30/2025",'Cats - 2025'!$J:$J,"Transferred")</f>
        <v>15</v>
      </c>
      <c r="C22">
        <f>COUNTIFS('Cats - 2025'!$D:$D,"6-12 months",'Cats - 2025'!$E:$E,"&gt;=04/01/2025",'Cats - 2025'!$E:$E,"&lt;=4/30/2025",'Cats - 2025'!$J:$J,"Transferred")</f>
        <v>0</v>
      </c>
      <c r="D22">
        <f>COUNTIFS('Cats - 2025'!$D:$D,"Adult",'Cats - 2025'!$E:$E,"&gt;=04/01/2025",'Cats - 2025'!$E:$E,"&lt;=4/30/2025",'Cats - 2025'!$J:$J,"Transferred")</f>
        <v>8</v>
      </c>
      <c r="E22">
        <f>COUNTIFS('Cats - 2025'!$D:$D,"Senior",'Cats - 2025'!$E:$E,"&gt;=04/01/2025",'Cats - 2025'!$E:$E,"&lt;=4/30/2025",'Cats - 2025'!$J:$J,"Transferred")</f>
        <v>0</v>
      </c>
      <c r="F22" s="9">
        <f t="shared" si="5"/>
        <v>23</v>
      </c>
      <c r="H22" t="s">
        <v>339</v>
      </c>
      <c r="I22">
        <f>COUNTIFS('Cats - 2025'!$D:$D,"0-6 months",'Cats - 2025'!$E:$E,"&gt;=04/01/2025",'Cats - 2025'!$E:$E,"&lt;=4/30/2025",'Cats - 2025'!$J:$J,"Adopted")</f>
        <v>3</v>
      </c>
      <c r="J22">
        <f>COUNTIFS('Cats - 2025'!$D:$D,"6-12 months",'Cats - 2025'!$E:$E,"&gt;=04/01/2025",'Cats - 2025'!$E:$E,"&lt;=4/30/2025",'Cats - 2025'!$J:$J,"Adopted")</f>
        <v>0</v>
      </c>
      <c r="K22">
        <f>COUNTIFS('Cats - 2025'!$D:$D,"Adult",'Cats - 2025'!$E:$E,"&gt;=04/01/2025",'Cats - 2025'!$E:$E,"&lt;=4/30/2025",'Cats - 2025'!$J:$J,"Adopted")</f>
        <v>2</v>
      </c>
      <c r="L22">
        <f>COUNTIFS('Cats - 2025'!$D:$D,"Senior",'Cats - 2025'!$E:$E,"&gt;=04/01/2025",'Cats - 2025'!$E:$E,"&lt;=4/30/2025",'Cats - 2025'!$J:$J,"Adopted")</f>
        <v>0</v>
      </c>
      <c r="M22" s="9">
        <f t="shared" si="6"/>
        <v>5</v>
      </c>
      <c r="P22" t="s">
        <v>617</v>
      </c>
      <c r="Q22">
        <f>COUNTIFS('Cats - 2025'!$AD:$AD,'Cat Report'!P22,'Cats - 2025'!$J:$J,"Euthanized")</f>
        <v>143</v>
      </c>
    </row>
    <row r="23" spans="1:17" x14ac:dyDescent="0.2">
      <c r="A23" t="s">
        <v>340</v>
      </c>
      <c r="B23">
        <f>COUNTIFS('Cats - 2025'!$D:$D,"0-6 months",'Cats - 2025'!$E:$E,"&gt;=05/01/2025",'Cats - 2025'!$E:$E,"&lt;=5/31/2025",'Cats - 2025'!$J:$J,"Transferred")</f>
        <v>36</v>
      </c>
      <c r="C23">
        <f>COUNTIFS('Cats - 2025'!$D:$D,"6-12 months",'Cats - 2025'!$E:$E,"&gt;=05/01/2025",'Cats - 2025'!$E:$E,"&lt;=5/31/2025",'Cats - 2025'!$J:$J,"Transferred")</f>
        <v>1</v>
      </c>
      <c r="D23">
        <f>COUNTIFS('Cats - 2025'!$D:$D,"Adult",'Cats - 2025'!$E:$E,"&gt;=05/01/2025",'Cats - 2025'!$E:$E,"&lt;=5/31/2025",'Cats - 2025'!$J:$J,"Transferred")</f>
        <v>11</v>
      </c>
      <c r="E23">
        <f>COUNTIFS('Cats - 2025'!$D:$D,"Senior",'Cats - 2025'!$E:$E,"&gt;=05/01/2025",'Cats - 2025'!$E:$E,"&lt;=5/31/2025",'Cats - 2025'!$J:$J,"Transferred")</f>
        <v>0</v>
      </c>
      <c r="F23" s="9">
        <f t="shared" si="5"/>
        <v>48</v>
      </c>
      <c r="H23" t="s">
        <v>340</v>
      </c>
      <c r="I23">
        <f>COUNTIFS('Cats - 2025'!$D:$D,"0-6 months",'Cats - 2025'!$E:$E,"&gt;=05/01/2025",'Cats - 2025'!$E:$E,"&lt;=5/31/2025",'Cats - 2025'!$J:$J,"Adopted")</f>
        <v>5</v>
      </c>
      <c r="J23">
        <f>COUNTIFS('Cats - 2025'!$D:$D,"6-12 months",'Cats - 2025'!$E:$E,"&gt;=05/01/2025",'Cats - 2025'!$E:$E,"&lt;=5/31/2025",'Cats - 2025'!$J:$J,"Adopted")</f>
        <v>1</v>
      </c>
      <c r="K23">
        <f>COUNTIFS('Cats - 2025'!$D:$D,"Adult",'Cats - 2025'!$E:$E,"&gt;=05/01/2025",'Cats - 2025'!$E:$E,"&lt;=5/31/2025",'Cats - 2025'!$J:$J,"Adopted")</f>
        <v>5</v>
      </c>
      <c r="L23">
        <f>COUNTIFS('Cats - 2025'!$D:$D,"Senior",'Cats - 2025'!$E:$E,"&gt;=05/01/2025",'Cats - 2025'!$E:$E,"&lt;=5/31/2025",'Cats - 2025'!$J:$J,"Adopted")</f>
        <v>0</v>
      </c>
      <c r="M23" s="9">
        <f t="shared" si="6"/>
        <v>11</v>
      </c>
      <c r="P23" t="s">
        <v>618</v>
      </c>
      <c r="Q23">
        <f>COUNTIFS('Cats - 2025'!$AD:$AD,'Cat Report'!P23,'Cats - 2025'!$J:$J,"Euthanized")</f>
        <v>157</v>
      </c>
    </row>
    <row r="24" spans="1:17" x14ac:dyDescent="0.2">
      <c r="A24" t="s">
        <v>341</v>
      </c>
      <c r="B24">
        <f>COUNTIFS('Cats - 2025'!$D:$D,"0-6 months",'Cats - 2025'!$E:$E,"&gt;=06/01/2025",'Cats - 2025'!$E:$E,"&lt;=6/30/2025",'Cats - 2025'!$J:$J,"Transferred")</f>
        <v>11</v>
      </c>
      <c r="C24">
        <f>COUNTIFS('Cats - 2025'!$D:$D,"6-12 months",'Cats - 2025'!$E:$E,"&gt;=06/01/2025",'Cats - 2025'!$E:$E,"&lt;=6/30/2025",'Cats - 2025'!$J:$J,"Transferred")</f>
        <v>1</v>
      </c>
      <c r="D24">
        <f>COUNTIFS('Cats - 2025'!$D:$D,"Adult",'Cats - 2025'!$E:$E,"&gt;=06/01/2025",'Cats - 2025'!$E:$E,"&lt;=6/30/2025",'Cats - 2025'!$J:$J,"Transferred")</f>
        <v>2</v>
      </c>
      <c r="E24">
        <f>COUNTIFS('Cats - 2025'!$D:$D,"Senior",'Cats - 2025'!$E:$E,"&gt;=06/01/2025",'Cats - 2025'!$E:$E,"&lt;=6/30/2025",'Cats - 2025'!$J:$J,"Transferred")</f>
        <v>0</v>
      </c>
      <c r="F24" s="9">
        <f t="shared" si="5"/>
        <v>14</v>
      </c>
      <c r="H24" t="s">
        <v>341</v>
      </c>
      <c r="I24">
        <f>COUNTIFS('Cats - 2025'!$D:$D,"0-6 months",'Cats - 2025'!$E:$E,"&gt;=06/01/2025",'Cats - 2025'!$E:$E,"&lt;=6/30/2025",'Cats - 2025'!$J:$J,"Adopted")</f>
        <v>5</v>
      </c>
      <c r="J24">
        <f>COUNTIFS('Cats - 2025'!$D:$D,"6-12 months",'Cats - 2025'!$E:$E,"&gt;=06/01/2025",'Cats - 2025'!$E:$E,"&lt;=6/30/2025",'Cats - 2025'!$J:$J,"Adopted")</f>
        <v>0</v>
      </c>
      <c r="K24">
        <f>COUNTIFS('Cats - 2025'!$D:$D,"Adult",'Cats - 2025'!$E:$E,"&gt;=06/01/2025",'Cats - 2025'!$E:$E,"&lt;=6/30/2025",'Cats - 2025'!$J:$J,"Adopted")</f>
        <v>2</v>
      </c>
      <c r="L24">
        <f>COUNTIFS('Cats - 2025'!$D:$D,"Senior",'Cats - 2025'!$E:$E,"&gt;=06/01/2025",'Cats - 2025'!$E:$E,"&lt;=6/30/2025",'Cats - 2025'!$J:$J,"Adopted")</f>
        <v>0</v>
      </c>
      <c r="M24" s="9">
        <f t="shared" si="6"/>
        <v>7</v>
      </c>
      <c r="P24" t="s">
        <v>619</v>
      </c>
      <c r="Q24">
        <f>COUNTIFS('Cats - 2025'!$AD:$AD,'Cat Report'!P24,'Cats - 2025'!$J:$J,"Euthanized")</f>
        <v>23</v>
      </c>
    </row>
    <row r="25" spans="1:17" x14ac:dyDescent="0.2">
      <c r="A25" t="s">
        <v>342</v>
      </c>
      <c r="B25">
        <f>COUNTIFS('Cats - 2025'!$D:$D,"0-6 months",'Cats - 2025'!$E:$E,"&gt;=07/01/2025",'Cats - 2025'!$E:$E,"&lt;=7/31/2025",'Cats - 2025'!$J:$J,"Transferred")</f>
        <v>18</v>
      </c>
      <c r="C25">
        <f>COUNTIFS('Cats - 2025'!$D:$D,"6-12 months",'Cats - 2025'!$E:$E,"&gt;=07/01/2025",'Cats - 2025'!$E:$E,"&lt;=7/31/2025",'Cats - 2025'!$J:$J,"Transferred")</f>
        <v>0</v>
      </c>
      <c r="D25">
        <f>COUNTIFS('Cats - 2025'!$D:$D,"Adult",'Cats - 2025'!$E:$E,"&gt;=07/01/2025",'Cats - 2025'!$E:$E,"&lt;=7/31/2025",'Cats - 2025'!$J:$J,"Transferred")</f>
        <v>1</v>
      </c>
      <c r="E25">
        <f>COUNTIFS('Cats - 2025'!$D:$D,"Senior",'Cats - 2025'!$E:$E,"&gt;=07/01/2025",'Cats - 2025'!$E:$E,"&lt;=7/31/2025",'Cats - 2025'!$J:$J,"Transferred")</f>
        <v>0</v>
      </c>
      <c r="F25" s="9">
        <f t="shared" si="5"/>
        <v>19</v>
      </c>
      <c r="H25" t="s">
        <v>342</v>
      </c>
      <c r="I25">
        <f>COUNTIFS('Cats - 2025'!$D:$D,"0-6 months",'Cats - 2025'!$E:$E,"&gt;=07/01/2025",'Cats - 2025'!$E:$E,"&lt;=7/31/2025",'Cats - 2025'!$J:$J,"Adopted")</f>
        <v>2</v>
      </c>
      <c r="J25">
        <f>COUNTIFS('Cats - 2025'!$D:$D,"6-12 months",'Cats - 2025'!$E:$E,"&gt;=07/01/2025",'Cats - 2025'!$E:$E,"&lt;=7/31/2025",'Cats - 2025'!$J:$J,"Adopted")</f>
        <v>0</v>
      </c>
      <c r="K25">
        <f>COUNTIFS('Cats - 2025'!$D:$D,"Adult",'Cats - 2025'!$E:$E,"&gt;=07/01/2025",'Cats - 2025'!$E:$E,"&lt;=7/31/2025",'Cats - 2025'!$J:$J,"Adopted")</f>
        <v>1</v>
      </c>
      <c r="L25">
        <f>COUNTIFS('Cats - 2025'!$D:$D,"Senior",'Cats - 2025'!$E:$E,"&gt;=07/01/2025",'Cats - 2025'!$E:$E,"&lt;=7/31/2025",'Cats - 2025'!$J:$J,"Adopted")</f>
        <v>0</v>
      </c>
      <c r="M25" s="9">
        <f t="shared" si="6"/>
        <v>3</v>
      </c>
      <c r="P25" t="s">
        <v>576</v>
      </c>
      <c r="Q25">
        <f>COUNTIFS('Cats - 2025'!$AD:$AD,'Cat Report'!P25,'Cats - 2025'!$J:$J,"Euthanized")</f>
        <v>10</v>
      </c>
    </row>
    <row r="26" spans="1:17" x14ac:dyDescent="0.2">
      <c r="A26" t="s">
        <v>343</v>
      </c>
      <c r="B26">
        <f>COUNTIFS('Cats - 2025'!$D:$D,"0-6 months",'Cats - 2025'!$E:$E,"&gt;=08/01/2025",'Cats - 2025'!$E:$E,"&lt;=8/31/2025",'Cats - 2025'!$J:$J,"Transferred")</f>
        <v>12</v>
      </c>
      <c r="C26">
        <f>COUNTIFS('Cats - 2025'!$D:$D,"6-12 months",'Cats - 2025'!$E:$E,"&gt;=08/01/2025",'Cats - 2025'!$E:$E,"&lt;=8/31/2025",'Cats - 2025'!$J:$J,"Transferred")</f>
        <v>4</v>
      </c>
      <c r="D26">
        <f>COUNTIFS('Cats - 2025'!$D:$D,"Adult",'Cats - 2025'!$E:$E,"&gt;=08/01/2025",'Cats - 2025'!$E:$E,"&lt;=8/31/2025",'Cats - 2025'!$J:$J,"Transferred")</f>
        <v>12</v>
      </c>
      <c r="E26">
        <f>COUNTIFS('Cats - 2025'!$D:$D,"Senior",'Cats - 2025'!$E:$E,"&gt;=08/01/2025",'Cats - 2025'!$E:$E,"&lt;=8/31/2025",'Cats - 2025'!$J:$J,"Transferred")</f>
        <v>0</v>
      </c>
      <c r="F26" s="9">
        <f t="shared" si="5"/>
        <v>28</v>
      </c>
      <c r="H26" t="s">
        <v>343</v>
      </c>
      <c r="I26">
        <f>COUNTIFS('Cats - 2025'!$D:$D,"0-6 months",'Cats - 2025'!$E:$E,"&gt;=08/01/2025",'Cats - 2025'!$E:$E,"&lt;=8/31/2025",'Cats - 2025'!$J:$J,"Adopted")</f>
        <v>4</v>
      </c>
      <c r="J26">
        <f>COUNTIFS('Cats - 2025'!$D:$D,"6-12 months",'Cats - 2025'!$E:$E,"&gt;=08/01/2025",'Cats - 2025'!$E:$E,"&lt;=8/31/2025",'Cats - 2025'!$J:$J,"Adopted")</f>
        <v>1</v>
      </c>
      <c r="K26">
        <f>COUNTIFS('Cats - 2025'!$D:$D,"Adult",'Cats - 2025'!$E:$E,"&gt;=08/01/2025",'Cats - 2025'!$E:$E,"&lt;=8/31/2025",'Cats - 2025'!$J:$J,"Adopted")</f>
        <v>1</v>
      </c>
      <c r="L26">
        <f>COUNTIFS('Cats - 2025'!$D:$D,"Senior",'Cats - 2025'!$E:$E,"&gt;=08/01/2025",'Cats - 2025'!$E:$E,"&lt;=8/31/2025",'Cats - 2025'!$J:$J,"Adopted")</f>
        <v>0</v>
      </c>
      <c r="M26" s="9">
        <f t="shared" si="6"/>
        <v>6</v>
      </c>
      <c r="P26" s="12"/>
      <c r="Q26" s="12">
        <f>SUM(Q19:Q25)</f>
        <v>710</v>
      </c>
    </row>
    <row r="27" spans="1:17" x14ac:dyDescent="0.2">
      <c r="A27" t="s">
        <v>344</v>
      </c>
      <c r="B27">
        <f>COUNTIFS('Cats - 2025'!$D:$D,"0-6 months",'Cats - 2025'!$E:$E,"&gt;=09/01/2025",'Cats - 2025'!$E:$E,"&lt;=9/30/2025",'Cats - 2025'!$J:$J,"Transferred")</f>
        <v>0</v>
      </c>
      <c r="C27">
        <f>COUNTIFS('Cats - 2025'!$D:$D,"6-12 months",'Cats - 2025'!$E:$E,"&gt;=09/01/2025",'Cats - 2025'!$E:$E,"&lt;=9/30/2025",'Cats - 2025'!$J:$J,"Transferred")</f>
        <v>0</v>
      </c>
      <c r="D27">
        <f>COUNTIFS('Cats - 2025'!$D:$D,"Adult",'Cats - 2025'!$E:$E,"&gt;=09/01/2025",'Cats - 2025'!$E:$E,"&lt;=9/30/2025",'Cats - 2025'!$J:$J,"Transferred")</f>
        <v>0</v>
      </c>
      <c r="E27">
        <f>COUNTIFS('Cats - 2025'!$D:$D,"Senior",'Cats - 2025'!$E:$E,"&gt;=09/01/2025",'Cats - 2025'!$E:$E,"&lt;=9/30/2025",'Cats - 2025'!$J:$J,"Transferred")</f>
        <v>0</v>
      </c>
      <c r="F27" s="9">
        <f t="shared" si="5"/>
        <v>0</v>
      </c>
      <c r="H27" t="s">
        <v>344</v>
      </c>
      <c r="I27">
        <f>COUNTIFS('Cats - 2025'!$D:$D,"0-6 months",'Cats - 2025'!$E:$E,"&gt;=09/01/2025",'Cats - 2025'!$E:$E,"&lt;=9/30/2025",'Cats - 2025'!$J:$J,"Adopted")</f>
        <v>0</v>
      </c>
      <c r="J27">
        <f>COUNTIFS('Cats - 2025'!$D:$D,"6-12 months",'Cats - 2025'!$E:$E,"&gt;=09/01/2025",'Cats - 2025'!$E:$E,"&lt;=9/30/2025",'Cats - 2025'!$J:$J,"Adopted")</f>
        <v>0</v>
      </c>
      <c r="K27">
        <f>COUNTIFS('Cats - 2025'!$D:$D,"Adult",'Cats - 2025'!$E:$E,"&gt;=09/01/2025",'Cats - 2025'!$E:$E,"&lt;=9/30/2025",'Cats - 2025'!$J:$J,"Adopted")</f>
        <v>0</v>
      </c>
      <c r="L27">
        <f>COUNTIFS('Cats - 2025'!$D:$D,"Senior",'Cats - 2025'!$E:$E,"&gt;=09/01/2025",'Cats - 2025'!$E:$E,"&lt;=9/30/2025",'Cats - 2025'!$J:$J,"Adopted")</f>
        <v>0</v>
      </c>
      <c r="M27" s="9">
        <f t="shared" si="6"/>
        <v>0</v>
      </c>
    </row>
    <row r="28" spans="1:17" x14ac:dyDescent="0.2">
      <c r="A28" t="s">
        <v>345</v>
      </c>
      <c r="B28">
        <f>COUNTIFS('Cats - 2025'!$D:$D,"0-6 months",'Cats - 2025'!$E:$E,"&gt;=10/01/2025",'Cats - 2025'!$E:$E,"&lt;=10/31/2025",'Cats - 2025'!$J:$J,"Transferred")</f>
        <v>0</v>
      </c>
      <c r="C28">
        <f>COUNTIFS('Cats - 2025'!$D:$D,"6-12 months",'Cats - 2025'!$E:$E,"&gt;=10/01/2025",'Cats - 2025'!$E:$E,"&lt;=10/31/2025",'Cats - 2025'!$J:$J,"Transferred")</f>
        <v>0</v>
      </c>
      <c r="D28">
        <f>COUNTIFS('Cats - 2025'!$D:$D,"Adult",'Cats - 2025'!$E:$E,"&gt;=10/01/2025",'Cats - 2025'!$E:$E,"&lt;=10/31/2025",'Cats - 2025'!$J:$J,"Transferred")</f>
        <v>0</v>
      </c>
      <c r="E28">
        <f>COUNTIFS('Cats - 2025'!$D:$D,"Senior",'Cats - 2025'!$E:$E,"&gt;=10/01/2025",'Cats - 2025'!$E:$E,"&lt;=10/31/2025",'Cats - 2025'!$J:$J,"Transferred")</f>
        <v>0</v>
      </c>
      <c r="F28" s="9">
        <f t="shared" si="5"/>
        <v>0</v>
      </c>
      <c r="H28" t="s">
        <v>345</v>
      </c>
      <c r="I28">
        <f>COUNTIFS('Cats - 2025'!$D:$D,"0-6 months",'Cats - 2025'!$E:$E,"&gt;=10/01/2025",'Cats - 2025'!$E:$E,"&lt;=10/31/2025",'Cats - 2025'!$J:$J,"Adopted")</f>
        <v>0</v>
      </c>
      <c r="J28">
        <f>COUNTIFS('Cats - 2025'!$D:$D,"6-12 months",'Cats - 2025'!$E:$E,"&gt;=10/01/2025",'Cats - 2025'!$E:$E,"&lt;=10/31/2025",'Cats - 2025'!$J:$J,"Adopted")</f>
        <v>0</v>
      </c>
      <c r="K28">
        <f>COUNTIFS('Cats - 2025'!$D:$D,"Adult",'Cats - 2025'!$E:$E,"&gt;=10/01/2025",'Cats - 2025'!$E:$E,"&lt;=10/31/2025",'Cats - 2025'!$J:$J,"Adopted")</f>
        <v>0</v>
      </c>
      <c r="L28">
        <f>COUNTIFS('Cats - 2025'!$D:$D,"Senior",'Cats - 2025'!$E:$E,"&gt;=10/01/2025",'Cats - 2025'!$E:$E,"&lt;=10/31/2025",'Cats - 2025'!$J:$J,"Adopted")</f>
        <v>0</v>
      </c>
      <c r="M28" s="9">
        <f t="shared" si="6"/>
        <v>0</v>
      </c>
    </row>
    <row r="29" spans="1:17" x14ac:dyDescent="0.2">
      <c r="A29" t="s">
        <v>346</v>
      </c>
      <c r="B29">
        <f>COUNTIFS('Cats - 2025'!$D:$D,"0-6 months",'Cats - 2025'!$E:$E,"&gt;=11/01/2025",'Cats - 2025'!$E:$E,"&lt;=11/30/2025",'Cats - 2025'!$J:$J,"Transferred")</f>
        <v>0</v>
      </c>
      <c r="C29">
        <f>COUNTIFS('Cats - 2025'!$D:$D,"6-12 months",'Cats - 2025'!$E:$E,"&gt;=11/01/2025",'Cats - 2025'!$E:$E,"&lt;=11/30/2025",'Cats - 2025'!$J:$J,"Transferred")</f>
        <v>0</v>
      </c>
      <c r="D29">
        <f>COUNTIFS('Cats - 2025'!$D:$D,"Adult",'Cats - 2025'!$E:$E,"&gt;=11/01/2025",'Cats - 2025'!$E:$E,"&lt;=11/30/2025",'Cats - 2025'!$J:$J,"Transferred")</f>
        <v>0</v>
      </c>
      <c r="E29">
        <f>COUNTIFS('Cats - 2025'!$D:$D,"Senior",'Cats - 2025'!$E:$E,"&gt;=11/01/2025",'Cats - 2025'!$E:$E,"&lt;=11/30/2025",'Cats - 2025'!$J:$J,"Transferred")</f>
        <v>0</v>
      </c>
      <c r="F29" s="9">
        <f t="shared" si="5"/>
        <v>0</v>
      </c>
      <c r="H29" t="s">
        <v>346</v>
      </c>
      <c r="I29">
        <f>COUNTIFS('Cats - 2025'!$D:$D,"0-6 months",'Cats - 2025'!$E:$E,"&gt;=11/01/2025",'Cats - 2025'!$E:$E,"&lt;=11/30/2025",'Cats - 2025'!$J:$J,"Adopted")</f>
        <v>0</v>
      </c>
      <c r="J29">
        <f>COUNTIFS('Cats - 2025'!$D:$D,"6-12 months",'Cats - 2025'!$E:$E,"&gt;=11/01/2025",'Cats - 2025'!$E:$E,"&lt;=11/30/2025",'Cats - 2025'!$J:$J,"Adopted")</f>
        <v>0</v>
      </c>
      <c r="K29">
        <f>COUNTIFS('Cats - 2025'!$D:$D,"Adult",'Cats - 2025'!$E:$E,"&gt;=11/01/2025",'Cats - 2025'!$E:$E,"&lt;=11/30/2025",'Cats - 2025'!$J:$J,"Adopted")</f>
        <v>0</v>
      </c>
      <c r="L29">
        <f>COUNTIFS('Cats - 2025'!$D:$D,"Senior",'Cats - 2025'!$E:$E,"&gt;=11/01/2025",'Cats - 2025'!$E:$E,"&lt;=11/30/2025",'Cats - 2025'!$J:$J,"Adopted")</f>
        <v>0</v>
      </c>
      <c r="M29" s="9">
        <f t="shared" si="6"/>
        <v>0</v>
      </c>
    </row>
    <row r="30" spans="1:17" x14ac:dyDescent="0.2">
      <c r="A30" t="s">
        <v>347</v>
      </c>
      <c r="B30">
        <f>COUNTIFS('Cats - 2025'!$D:$D,"0-6 months",'Cats - 2025'!$E:$E,"&gt;=12/01/2025",'Cats - 2025'!$E:$E,"&lt;=12/31/2025",'Cats - 2025'!$J:$J,"Transferred")</f>
        <v>0</v>
      </c>
      <c r="C30">
        <f>COUNTIFS('Cats - 2025'!$D:$D,"6-12 months",'Cats - 2025'!$E:$E,"&gt;=12/01/2025",'Cats - 2025'!$E:$E,"&lt;=12/31/2025",'Cats - 2025'!$J:$J,"Transferred")</f>
        <v>0</v>
      </c>
      <c r="D30">
        <f>COUNTIFS('Cats - 2025'!$D:$D,"Adult",'Cats - 2025'!$E:$E,"&gt;=12/01/2025",'Cats - 2025'!$E:$E,"&lt;=12/31/2025",'Cats - 2025'!$J:$J,"Transferred")</f>
        <v>0</v>
      </c>
      <c r="E30">
        <f>COUNTIFS('Cats - 2025'!$D:$D,"Senior",'Cats - 2025'!$E:$E,"&gt;=12/01/2025",'Cats - 2025'!$E:$E,"&lt;=12/31/2025",'Cats - 2025'!$J:$J,"Transferred")</f>
        <v>0</v>
      </c>
      <c r="F30" s="9">
        <f t="shared" si="5"/>
        <v>0</v>
      </c>
      <c r="H30" t="s">
        <v>347</v>
      </c>
      <c r="I30">
        <f>COUNTIFS('Cats - 2025'!$D:$D,"0-6 months",'Cats - 2025'!$E:$E,"&gt;=12/01/2025",'Cats - 2025'!$E:$E,"&lt;=12/31/2025",'Cats - 2025'!$J:$J,"Adopted")</f>
        <v>0</v>
      </c>
      <c r="J30">
        <f>COUNTIFS('Cats - 2025'!$D:$D,"6-12 months",'Cats - 2025'!$E:$E,"&gt;=12/01/2025",'Cats - 2025'!$E:$E,"&lt;=12/31/2025",'Cats - 2025'!$J:$J,"Adopted")</f>
        <v>0</v>
      </c>
      <c r="K30">
        <f>COUNTIFS('Cats - 2025'!$D:$D,"Adult",'Cats - 2025'!$E:$E,"&gt;=12/01/2025",'Cats - 2025'!$E:$E,"&lt;=12/31/2025",'Cats - 2025'!$J:$J,"Adopted")</f>
        <v>0</v>
      </c>
      <c r="L30">
        <f>COUNTIFS('Cats - 2025'!$D:$D,"Senior",'Cats - 2025'!$E:$E,"&gt;=12/01/2025",'Cats - 2025'!$E:$E,"&lt;=12/31/2025",'Cats - 2025'!$J:$J,"Adopted")</f>
        <v>0</v>
      </c>
      <c r="M30" s="9">
        <f t="shared" si="6"/>
        <v>0</v>
      </c>
    </row>
    <row r="31" spans="1:17" x14ac:dyDescent="0.2">
      <c r="A31" s="12"/>
      <c r="B31" s="12">
        <f>SUM(B19:B30)</f>
        <v>115</v>
      </c>
      <c r="C31" s="12">
        <f>SUM(C19:C30)</f>
        <v>18</v>
      </c>
      <c r="D31" s="12">
        <f>SUM(D19:D30)</f>
        <v>71</v>
      </c>
      <c r="E31" s="12">
        <f>SUM(E19:E30)</f>
        <v>0</v>
      </c>
      <c r="F31" s="12">
        <f>SUM(F19:F30)</f>
        <v>204</v>
      </c>
      <c r="H31" s="12"/>
      <c r="I31" s="12">
        <f>SUM(I19:I30)</f>
        <v>28</v>
      </c>
      <c r="J31" s="12">
        <f>SUM(J19:J30)</f>
        <v>3</v>
      </c>
      <c r="K31" s="12">
        <f>SUM(K19:K30)</f>
        <v>15</v>
      </c>
      <c r="L31" s="12">
        <f>SUM(L19:L30)</f>
        <v>0</v>
      </c>
      <c r="M31" s="12">
        <f>SUM(M19:M30)</f>
        <v>46</v>
      </c>
    </row>
    <row r="33" spans="1:13" ht="24" x14ac:dyDescent="0.2">
      <c r="A33" s="40" t="s">
        <v>583</v>
      </c>
      <c r="B33" s="40"/>
      <c r="C33" s="40"/>
      <c r="D33" s="40"/>
      <c r="E33" s="40"/>
      <c r="F33" s="16">
        <f>F47/$F$15</f>
        <v>1.5888778550148957E-2</v>
      </c>
      <c r="H33" s="40" t="s">
        <v>21</v>
      </c>
      <c r="I33" s="40"/>
      <c r="J33" s="40"/>
      <c r="K33" s="40"/>
      <c r="L33" s="40"/>
      <c r="M33" s="16">
        <f>M47/$F$15</f>
        <v>1.8867924528301886E-2</v>
      </c>
    </row>
    <row r="34" spans="1:13" x14ac:dyDescent="0.2">
      <c r="A34" s="8"/>
      <c r="B34" s="13" t="s">
        <v>208</v>
      </c>
      <c r="C34" s="13" t="s">
        <v>209</v>
      </c>
      <c r="D34" s="13" t="s">
        <v>207</v>
      </c>
      <c r="E34" s="13" t="s">
        <v>210</v>
      </c>
      <c r="F34" s="14" t="s">
        <v>201</v>
      </c>
      <c r="H34" s="8"/>
      <c r="I34" s="13" t="s">
        <v>208</v>
      </c>
      <c r="J34" s="13" t="s">
        <v>209</v>
      </c>
      <c r="K34" s="13" t="s">
        <v>207</v>
      </c>
      <c r="L34" s="13" t="s">
        <v>210</v>
      </c>
      <c r="M34" s="14" t="s">
        <v>201</v>
      </c>
    </row>
    <row r="35" spans="1:13" x14ac:dyDescent="0.2">
      <c r="A35" t="s">
        <v>336</v>
      </c>
      <c r="B35">
        <f>COUNTIFS('Cats - 2025'!$D:$D,"0-6 months",'Cats - 2025'!$E:$E,"&gt;=01/01/2025",'Cats - 2025'!$E:$E,"&lt;=1/31/2025",'Cats - 2025'!$J:$J,"DOA")</f>
        <v>0</v>
      </c>
      <c r="C35">
        <f>COUNTIFS('Cats - 2025'!$D:$D,"6-12 months",'Cats - 2025'!$E:$E,"&gt;=01/01/2025",'Cats - 2025'!$E:$E,"&lt;=1/31/2025",'Cats - 2025'!$J:$J,"DOA")</f>
        <v>0</v>
      </c>
      <c r="D35">
        <f>COUNTIFS('Cats - 2025'!$D:$D,"Adult",'Cats - 2025'!$E:$E,"&gt;=01/01/2025",'Cats - 2025'!$E:$E,"&lt;=1/31/2025",'Cats - 2025'!$J:$J,"DOA")</f>
        <v>1</v>
      </c>
      <c r="E35">
        <f>COUNTIFS('Cats - 2025'!$D:$D,"Senior",'Cats - 2025'!$E:$E,"&gt;=01/01/2025",'Cats - 2025'!$E:$E,"&lt;=1/31/2025",'Cats - 2025'!$J:$J,"DOA")</f>
        <v>0</v>
      </c>
      <c r="F35" s="9">
        <f>SUM(B35:E35)</f>
        <v>1</v>
      </c>
      <c r="H35" t="s">
        <v>336</v>
      </c>
      <c r="I35">
        <f>COUNTIFS('Cats - 2025'!$D:$D,"0-6 months",'Cats - 2025'!$E:$E,"&gt;=01/01/2025",'Cats - 2025'!$E:$E,"&lt;=1/31/2025",'Cats - 2025'!$J:$J,"Shelter")</f>
        <v>1</v>
      </c>
      <c r="J35">
        <f>COUNTIFS('Cats - 2025'!$D:$D,"6-12 months",'Cats - 2025'!$E:$E,"&gt;=01/01/2025",'Cats - 2025'!$E:$E,"&lt;=1/31/2025",'Cats - 2025'!$J:$J,"Shelter")</f>
        <v>0</v>
      </c>
      <c r="K35">
        <f>COUNTIFS('Cats - 2025'!$D:$D,"Adult",'Cats - 2025'!$E:$E,"&gt;=01/01/2025",'Cats - 2025'!$E:$E,"&lt;=1/31/2025",'Cats - 2025'!$J:$J,"Shelter")</f>
        <v>0</v>
      </c>
      <c r="L35">
        <f>COUNTIFS('Cats - 2025'!$D:$D,"Senior",'Cats - 2025'!$E:$E,"&gt;=01/01/2025",'Cats - 2025'!$E:$E,"&lt;=1/31/2025",'Cats - 2025'!$J:$J,"Shelter")</f>
        <v>0</v>
      </c>
      <c r="M35" s="9">
        <f>SUM(I35:L35)</f>
        <v>1</v>
      </c>
    </row>
    <row r="36" spans="1:13" x14ac:dyDescent="0.2">
      <c r="A36" t="s">
        <v>337</v>
      </c>
      <c r="B36">
        <f>COUNTIFS('Cats - 2025'!$D:$D,"0-6 months",'Cats - 2025'!$E:$E,"&gt;=02/01/2025",'Cats - 2025'!$E:$E,"&lt;=2/28/2025",'Cats - 2025'!$J:$J,"DOA")</f>
        <v>0</v>
      </c>
      <c r="C36">
        <f>COUNTIFS('Cats - 2025'!$D:$D,"6-12 months",'Cats - 2025'!$E:$E,"&gt;=02/01/2025",'Cats - 2025'!$E:$E,"&lt;=2/28/2025",'Cats - 2025'!$J:$J,"DOA")</f>
        <v>0</v>
      </c>
      <c r="D36">
        <f>COUNTIFS('Cats - 2025'!$D:$D,"Adult",'Cats - 2025'!$E:$E,"&gt;=02/01/2025",'Cats - 2025'!$E:$E,"&lt;=2/28/2025",'Cats - 2025'!$J:$J,"DOA")</f>
        <v>0</v>
      </c>
      <c r="E36">
        <f>COUNTIFS('Cats - 2025'!$D:$D,"Senior",'Cats - 2025'!$E:$E,"&gt;=02/01/2025",'Cats - 2025'!$E:$E,"&lt;=2/28/2025",'Cats - 2025'!$J:$J,"DOA")</f>
        <v>0</v>
      </c>
      <c r="F36" s="9">
        <f t="shared" ref="F36:F46" si="7">SUM(B36:E36)</f>
        <v>0</v>
      </c>
      <c r="H36" t="s">
        <v>337</v>
      </c>
      <c r="I36">
        <f>COUNTIFS('Cats - 2025'!$D:$D,"0-6 months",'Cats - 2025'!$E:$E,"&gt;=02/01/2025",'Cats - 2025'!$E:$E,"&lt;=2/28/2025",'Cats - 2025'!$J:$J,"Shelter")</f>
        <v>0</v>
      </c>
      <c r="J36">
        <f>COUNTIFS('Cats - 2025'!$D:$D,"6-12 months",'Cats - 2025'!$E:$E,"&gt;=02/01/2025",'Cats - 2025'!$E:$E,"&lt;=2/28/2025",'Cats - 2025'!$J:$J,"Shelter")</f>
        <v>0</v>
      </c>
      <c r="K36">
        <f>COUNTIFS('Cats - 2025'!$D:$D,"Adult",'Cats - 2025'!$E:$E,"&gt;=02/01/2025",'Cats - 2025'!$E:$E,"&lt;=2/28/2025",'Cats - 2025'!$J:$J,"Shelter")</f>
        <v>0</v>
      </c>
      <c r="L36">
        <f>COUNTIFS('Cats - 2025'!$D:$D,"Senior",'Cats - 2025'!$E:$E,"&gt;=02/01/2025",'Cats - 2025'!$E:$E,"&lt;=2/28/2025",'Cats - 2025'!$J:$J,"Shelter")</f>
        <v>0</v>
      </c>
      <c r="M36" s="9">
        <f t="shared" ref="M36:M46" si="8">SUM(I36:L36)</f>
        <v>0</v>
      </c>
    </row>
    <row r="37" spans="1:13" x14ac:dyDescent="0.2">
      <c r="A37" t="s">
        <v>338</v>
      </c>
      <c r="B37">
        <f>COUNTIFS('Cats - 2025'!$D:$D,"0-6 months",'Cats - 2025'!$E:$E,"&gt;=03/01/2025",'Cats - 2025'!$E:$E,"&lt;=3/31/2025",'Cats - 2025'!$J:$J,"DOA")</f>
        <v>1</v>
      </c>
      <c r="C37">
        <f>COUNTIFS('Cats - 2025'!$D:$D,"6-12 months",'Cats - 2025'!$E:$E,"&gt;=03/01/2025",'Cats - 2025'!$E:$E,"&lt;=3/31/2025",'Cats - 2025'!$J:$J,"DOA")</f>
        <v>0</v>
      </c>
      <c r="D37">
        <f>COUNTIFS('Cats - 2025'!$D:$D,"Adult",'Cats - 2025'!$E:$E,"&gt;=03/01/2025",'Cats - 2025'!$E:$E,"&lt;=3/31/2025",'Cats - 2025'!$J:$J,"DOA")</f>
        <v>0</v>
      </c>
      <c r="E37">
        <f>COUNTIFS('Cats - 2025'!$D:$D,"Senior",'Cats - 2025'!$E:$E,"&gt;=03/01/2025",'Cats - 2025'!$E:$E,"&lt;=3/31/2025",'Cats - 2025'!$J:$J,"DOA")</f>
        <v>0</v>
      </c>
      <c r="F37" s="9">
        <f t="shared" si="7"/>
        <v>1</v>
      </c>
      <c r="H37" t="s">
        <v>338</v>
      </c>
      <c r="I37">
        <f>COUNTIFS('Cats - 2025'!$D:$D,"0-6 months",'Cats - 2025'!$E:$E,"&gt;=03/01/2025",'Cats - 2025'!$E:$E,"&lt;=3/31/2025",'Cats - 2025'!$J:$J,"Shelter")</f>
        <v>0</v>
      </c>
      <c r="J37">
        <f>COUNTIFS('Cats - 2025'!$D:$D,"6-12 months",'Cats - 2025'!$E:$E,"&gt;=03/01/2025",'Cats - 2025'!$E:$E,"&lt;=3/31/2025",'Cats - 2025'!$J:$J,"Shelter")</f>
        <v>0</v>
      </c>
      <c r="K37">
        <f>COUNTIFS('Cats - 2025'!$D:$D,"Adult",'Cats - 2025'!$E:$E,"&gt;=03/01/2025",'Cats - 2025'!$E:$E,"&lt;=3/31/2025",'Cats - 2025'!$J:$J,"Shelter")</f>
        <v>1</v>
      </c>
      <c r="L37">
        <f>COUNTIFS('Cats - 2025'!$D:$D,"Senior",'Cats - 2025'!$E:$E,"&gt;=03/01/2025",'Cats - 2025'!$E:$E,"&lt;=3/31/2025",'Cats - 2025'!$J:$J,"Shelter")</f>
        <v>0</v>
      </c>
      <c r="M37" s="9">
        <f t="shared" si="8"/>
        <v>1</v>
      </c>
    </row>
    <row r="38" spans="1:13" x14ac:dyDescent="0.2">
      <c r="A38" t="s">
        <v>339</v>
      </c>
      <c r="B38">
        <f>COUNTIFS('Cats - 2025'!$D:$D,"0-6 months",'Cats - 2025'!$E:$E,"&gt;=04/01/2025",'Cats - 2025'!$E:$E,"&lt;=4/30/2025",'Cats - 2025'!$J:$J,"DOA")</f>
        <v>3</v>
      </c>
      <c r="C38">
        <f>COUNTIFS('Cats - 2025'!$D:$D,"6-12 months",'Cats - 2025'!$E:$E,"&gt;=04/01/2025",'Cats - 2025'!$E:$E,"&lt;=4/30/2025",'Cats - 2025'!$J:$J,"DOA")</f>
        <v>0</v>
      </c>
      <c r="D38">
        <f>COUNTIFS('Cats - 2025'!$D:$D,"Adult",'Cats - 2025'!$E:$E,"&gt;=04/01/2025",'Cats - 2025'!$E:$E,"&lt;=4/30/2025",'Cats - 2025'!$J:$J,"DOA")</f>
        <v>0</v>
      </c>
      <c r="E38">
        <f>COUNTIFS('Cats - 2025'!$D:$D,"Senior",'Cats - 2025'!$E:$E,"&gt;=04/01/2025",'Cats - 2025'!$E:$E,"&lt;=4/30/2025",'Cats - 2025'!$J:$J,"DOA")</f>
        <v>0</v>
      </c>
      <c r="F38" s="9">
        <f t="shared" si="7"/>
        <v>3</v>
      </c>
      <c r="H38" t="s">
        <v>339</v>
      </c>
      <c r="I38">
        <f>COUNTIFS('Cats - 2025'!$D:$D,"0-6 months",'Cats - 2025'!$E:$E,"&gt;=04/01/2025",'Cats - 2025'!$E:$E,"&lt;=4/30/2025",'Cats - 2025'!$J:$J,"Shelter")</f>
        <v>0</v>
      </c>
      <c r="J38">
        <f>COUNTIFS('Cats - 2025'!$D:$D,"6-12 months",'Cats - 2025'!$E:$E,"&gt;=04/01/2025",'Cats - 2025'!$E:$E,"&lt;=4/30/2025",'Cats - 2025'!$J:$J,"Shelter")</f>
        <v>0</v>
      </c>
      <c r="K38">
        <f>COUNTIFS('Cats - 2025'!$D:$D,"Adult",'Cats - 2025'!$E:$E,"&gt;=04/01/2025",'Cats - 2025'!$E:$E,"&lt;=4/30/2025",'Cats - 2025'!$J:$J,"Shelter")</f>
        <v>0</v>
      </c>
      <c r="L38">
        <f>COUNTIFS('Cats - 2025'!$D:$D,"Senior",'Cats - 2025'!$E:$E,"&gt;=04/01/2025",'Cats - 2025'!$E:$E,"&lt;=4/30/2025",'Cats - 2025'!$J:$J,"Shelter")</f>
        <v>0</v>
      </c>
      <c r="M38" s="9">
        <f t="shared" si="8"/>
        <v>0</v>
      </c>
    </row>
    <row r="39" spans="1:13" x14ac:dyDescent="0.2">
      <c r="A39" t="s">
        <v>340</v>
      </c>
      <c r="B39">
        <f>COUNTIFS('Cats - 2025'!$D:$D,"0-6 months",'Cats - 2025'!$E:$E,"&gt;=05/01/2025",'Cats - 2025'!$E:$E,"&lt;=5/31/2025",'Cats - 2025'!$J:$J,"DOA")</f>
        <v>3</v>
      </c>
      <c r="C39">
        <f>COUNTIFS('Cats - 2025'!$D:$D,"6-12 months",'Cats - 2025'!$E:$E,"&gt;=05/01/2025",'Cats - 2025'!$E:$E,"&lt;=5/31/2025",'Cats - 2025'!$J:$J,"DOA")</f>
        <v>0</v>
      </c>
      <c r="D39">
        <f>COUNTIFS('Cats - 2025'!$D:$D,"Adult",'Cats - 2025'!$E:$E,"&gt;=05/01/2025",'Cats - 2025'!$E:$E,"&lt;=5/31/2025",'Cats - 2025'!$J:$J,"DOA")</f>
        <v>0</v>
      </c>
      <c r="E39">
        <f>COUNTIFS('Cats - 2025'!$D:$D,"Senior",'Cats - 2025'!$E:$E,"&gt;=05/01/2025",'Cats - 2025'!$E:$E,"&lt;=5/31/2025",'Cats - 2025'!$J:$J,"DOA")</f>
        <v>0</v>
      </c>
      <c r="F39" s="9">
        <f t="shared" si="7"/>
        <v>3</v>
      </c>
      <c r="H39" t="s">
        <v>340</v>
      </c>
      <c r="I39">
        <f>COUNTIFS('Cats - 2025'!$D:$D,"0-6 months",'Cats - 2025'!$E:$E,"&gt;=05/01/2025",'Cats - 2025'!$E:$E,"&lt;=5/31/2025",'Cats - 2025'!$J:$J,"Shelter")</f>
        <v>2</v>
      </c>
      <c r="J39">
        <f>COUNTIFS('Cats - 2025'!$D:$D,"6-12 months",'Cats - 2025'!$E:$E,"&gt;=05/01/2025",'Cats - 2025'!$E:$E,"&lt;=5/31/2025",'Cats - 2025'!$J:$J,"Shelter")</f>
        <v>0</v>
      </c>
      <c r="K39">
        <f>COUNTIFS('Cats - 2025'!$D:$D,"Adult",'Cats - 2025'!$E:$E,"&gt;=05/01/2025",'Cats - 2025'!$E:$E,"&lt;=5/31/2025",'Cats - 2025'!$J:$J,"Shelter")</f>
        <v>2</v>
      </c>
      <c r="L39">
        <f>COUNTIFS('Cats - 2025'!$D:$D,"Senior",'Cats - 2025'!$E:$E,"&gt;=05/01/2025",'Cats - 2025'!$E:$E,"&lt;=5/31/2025",'Cats - 2025'!$J:$J,"Shelter")</f>
        <v>0</v>
      </c>
      <c r="M39" s="9">
        <f t="shared" si="8"/>
        <v>4</v>
      </c>
    </row>
    <row r="40" spans="1:13" x14ac:dyDescent="0.2">
      <c r="A40" t="s">
        <v>341</v>
      </c>
      <c r="B40">
        <f>COUNTIFS('Cats - 2025'!$D:$D,"0-6 months",'Cats - 2025'!$E:$E,"&gt;=06/01/2025",'Cats - 2025'!$E:$E,"&lt;=6/30/2025",'Cats - 2025'!$J:$J,"DOA")</f>
        <v>0</v>
      </c>
      <c r="C40">
        <f>COUNTIFS('Cats - 2025'!$D:$D,"6-12 months",'Cats - 2025'!$E:$E,"&gt;=06/01/2025",'Cats - 2025'!$E:$E,"&lt;=6/30/2025",'Cats - 2025'!$J:$J,"DOA")</f>
        <v>0</v>
      </c>
      <c r="D40">
        <f>COUNTIFS('Cats - 2025'!$D:$D,"Adult",'Cats - 2025'!$E:$E,"&gt;=06/01/2025",'Cats - 2025'!$E:$E,"&lt;=6/30/2025",'Cats - 2025'!$J:$J,"DOA")</f>
        <v>0</v>
      </c>
      <c r="E40">
        <f>COUNTIFS('Cats - 2025'!$D:$D,"Senior",'Cats - 2025'!$E:$E,"&gt;=06/01/2025",'Cats - 2025'!$E:$E,"&lt;=6/30/2025",'Cats - 2025'!$J:$J,"DOA")</f>
        <v>0</v>
      </c>
      <c r="F40" s="9">
        <f t="shared" si="7"/>
        <v>0</v>
      </c>
      <c r="H40" t="s">
        <v>341</v>
      </c>
      <c r="I40">
        <f>COUNTIFS('Cats - 2025'!$D:$D,"0-6 months",'Cats - 2025'!$E:$E,"&gt;=06/01/2025",'Cats - 2025'!$E:$E,"&lt;=6/30/2025",'Cats - 2025'!$J:$J,"Shelter")</f>
        <v>2</v>
      </c>
      <c r="J40">
        <f>COUNTIFS('Cats - 2025'!$D:$D,"6-12 months",'Cats - 2025'!$E:$E,"&gt;=06/01/2025",'Cats - 2025'!$E:$E,"&lt;=6/30/2025",'Cats - 2025'!$J:$J,"Shelter")</f>
        <v>0</v>
      </c>
      <c r="K40">
        <f>COUNTIFS('Cats - 2025'!$D:$D,"Adult",'Cats - 2025'!$E:$E,"&gt;=06/01/2025",'Cats - 2025'!$E:$E,"&lt;=6/30/2025",'Cats - 2025'!$J:$J,"Shelter")</f>
        <v>3</v>
      </c>
      <c r="L40">
        <f>COUNTIFS('Cats - 2025'!$D:$D,"Senior",'Cats - 2025'!$E:$E,"&gt;=06/01/2025",'Cats - 2025'!$E:$E,"&lt;=6/30/2025",'Cats - 2025'!$J:$J,"Shelter")</f>
        <v>0</v>
      </c>
      <c r="M40" s="9">
        <f t="shared" si="8"/>
        <v>5</v>
      </c>
    </row>
    <row r="41" spans="1:13" x14ac:dyDescent="0.2">
      <c r="A41" t="s">
        <v>342</v>
      </c>
      <c r="B41">
        <f>COUNTIFS('Cats - 2025'!$D:$D,"0-6 months",'Cats - 2025'!$E:$E,"&gt;=07/01/2025",'Cats - 2025'!$E:$E,"&lt;=7/31/2025",'Cats - 2025'!$J:$J,"DOA")</f>
        <v>3</v>
      </c>
      <c r="C41">
        <f>COUNTIFS('Cats - 2025'!$D:$D,"6-12 months",'Cats - 2025'!$E:$E,"&gt;=07/01/2025",'Cats - 2025'!$E:$E,"&lt;=7/31/2025",'Cats - 2025'!$J:$J,"DOA")</f>
        <v>0</v>
      </c>
      <c r="D41">
        <f>COUNTIFS('Cats - 2025'!$D:$D,"Adult",'Cats - 2025'!$E:$E,"&gt;=07/01/2025",'Cats - 2025'!$E:$E,"&lt;=7/31/2025",'Cats - 2025'!$J:$J,"DOA")</f>
        <v>1</v>
      </c>
      <c r="E41">
        <f>COUNTIFS('Cats - 2025'!$D:$D,"Senior",'Cats - 2025'!$E:$E,"&gt;=07/01/2025",'Cats - 2025'!$E:$E,"&lt;=7/31/2025",'Cats - 2025'!$J:$J,"DOA")</f>
        <v>0</v>
      </c>
      <c r="F41" s="9">
        <f t="shared" si="7"/>
        <v>4</v>
      </c>
      <c r="H41" t="s">
        <v>342</v>
      </c>
      <c r="I41">
        <f>COUNTIFS('Cats - 2025'!$D:$D,"0-6 months",'Cats - 2025'!$E:$E,"&gt;=07/01/2025",'Cats - 2025'!$E:$E,"&lt;=7/31/2025",'Cats - 2025'!$J:$J,"Shelter")</f>
        <v>5</v>
      </c>
      <c r="J41">
        <f>COUNTIFS('Cats - 2025'!$D:$D,"6-12 months",'Cats - 2025'!$E:$E,"&gt;=07/01/2025",'Cats - 2025'!$E:$E,"&lt;=7/31/2025",'Cats - 2025'!$J:$J,"Shelter")</f>
        <v>0</v>
      </c>
      <c r="K41">
        <f>COUNTIFS('Cats - 2025'!$D:$D,"Adult",'Cats - 2025'!$E:$E,"&gt;=07/01/2025",'Cats - 2025'!$E:$E,"&lt;=7/31/2025",'Cats - 2025'!$J:$J,"Shelter")</f>
        <v>1</v>
      </c>
      <c r="L41">
        <f>COUNTIFS('Cats - 2025'!$D:$D,"Senior",'Cats - 2025'!$E:$E,"&gt;=07/01/2025",'Cats - 2025'!$E:$E,"&lt;=7/31/2025",'Cats - 2025'!$J:$J,"Shelter")</f>
        <v>0</v>
      </c>
      <c r="M41" s="9">
        <f t="shared" si="8"/>
        <v>6</v>
      </c>
    </row>
    <row r="42" spans="1:13" x14ac:dyDescent="0.2">
      <c r="A42" t="s">
        <v>343</v>
      </c>
      <c r="B42">
        <f>COUNTIFS('Cats - 2025'!$D:$D,"0-6 months",'Cats - 2025'!$E:$E,"&gt;=08/01/2025",'Cats - 2025'!$E:$E,"&lt;=8/31/2025",'Cats - 2025'!$J:$J,"DOA")</f>
        <v>4</v>
      </c>
      <c r="C42">
        <f>COUNTIFS('Cats - 2025'!$D:$D,"6-12 months",'Cats - 2025'!$E:$E,"&gt;=08/01/2025",'Cats - 2025'!$E:$E,"&lt;=8/31/2025",'Cats - 2025'!$J:$J,"DOA")</f>
        <v>0</v>
      </c>
      <c r="D42">
        <f>COUNTIFS('Cats - 2025'!$D:$D,"Adult",'Cats - 2025'!$E:$E,"&gt;=08/01/2025",'Cats - 2025'!$E:$E,"&lt;=8/31/2025",'Cats - 2025'!$J:$J,"DOA")</f>
        <v>0</v>
      </c>
      <c r="E42">
        <f>COUNTIFS('Cats - 2025'!$D:$D,"Senior",'Cats - 2025'!$E:$E,"&gt;=08/01/2025",'Cats - 2025'!$E:$E,"&lt;=8/31/2025",'Cats - 2025'!$J:$J,"DOA")</f>
        <v>0</v>
      </c>
      <c r="F42" s="9">
        <f t="shared" si="7"/>
        <v>4</v>
      </c>
      <c r="H42" t="s">
        <v>343</v>
      </c>
      <c r="I42">
        <f>COUNTIFS('Cats - 2025'!$D:$D,"0-6 months",'Cats - 2025'!$E:$E,"&gt;=08/01/2025",'Cats - 2025'!$E:$E,"&lt;=8/31/2025",'Cats - 2025'!$J:$J,"Shelter")</f>
        <v>1</v>
      </c>
      <c r="J42">
        <f>COUNTIFS('Cats - 2025'!$D:$D,"6-12 months",'Cats - 2025'!$E:$E,"&gt;=08/01/2025",'Cats - 2025'!$E:$E,"&lt;=8/31/2025",'Cats - 2025'!$J:$J,"Shelter")</f>
        <v>1</v>
      </c>
      <c r="K42">
        <f>COUNTIFS('Cats - 2025'!$D:$D,"Adult",'Cats - 2025'!$E:$E,"&gt;=08/01/2025",'Cats - 2025'!$E:$E,"&lt;=8/31/2025",'Cats - 2025'!$J:$J,"Shelter")</f>
        <v>0</v>
      </c>
      <c r="L42">
        <f>COUNTIFS('Cats - 2025'!$D:$D,"Senior",'Cats - 2025'!$E:$E,"&gt;=08/01/2025",'Cats - 2025'!$E:$E,"&lt;=8/31/2025",'Cats - 2025'!$J:$J,"Shelter")</f>
        <v>0</v>
      </c>
      <c r="M42" s="9">
        <f t="shared" si="8"/>
        <v>2</v>
      </c>
    </row>
    <row r="43" spans="1:13" x14ac:dyDescent="0.2">
      <c r="A43" t="s">
        <v>344</v>
      </c>
      <c r="B43">
        <f>COUNTIFS('Cats - 2025'!$D:$D,"0-6 months",'Cats - 2025'!$E:$E,"&gt;=09/01/2025",'Cats - 2025'!$E:$E,"&lt;=9/30/2025",'Cats - 2025'!$J:$J,"DOA")</f>
        <v>0</v>
      </c>
      <c r="C43">
        <f>COUNTIFS('Cats - 2025'!$D:$D,"6-12 months",'Cats - 2025'!$E:$E,"&gt;=09/01/2025",'Cats - 2025'!$E:$E,"&lt;=9/30/2025",'Cats - 2025'!$J:$J,"DOA")</f>
        <v>0</v>
      </c>
      <c r="D43">
        <f>COUNTIFS('Cats - 2025'!$D:$D,"Adult",'Cats - 2025'!$E:$E,"&gt;=09/01/2025",'Cats - 2025'!$E:$E,"&lt;=9/30/2025",'Cats - 2025'!$J:$J,"DOA")</f>
        <v>0</v>
      </c>
      <c r="E43">
        <f>COUNTIFS('Cats - 2025'!$D:$D,"Senior",'Cats - 2025'!$E:$E,"&gt;=09/01/2025",'Cats - 2025'!$E:$E,"&lt;=9/30/2025",'Cats - 2025'!$J:$J,"DOA")</f>
        <v>0</v>
      </c>
      <c r="F43" s="9">
        <f t="shared" si="7"/>
        <v>0</v>
      </c>
      <c r="H43" t="s">
        <v>344</v>
      </c>
      <c r="I43">
        <f>COUNTIFS('Cats - 2025'!$D:$D,"0-6 months",'Cats - 2025'!$E:$E,"&gt;=09/01/2025",'Cats - 2025'!$E:$E,"&lt;=9/30/2025",'Cats - 2025'!$J:$J,"Shelter")</f>
        <v>0</v>
      </c>
      <c r="J43">
        <f>COUNTIFS('Cats - 2025'!$D:$D,"6-12 months",'Cats - 2025'!$E:$E,"&gt;=09/01/2025",'Cats - 2025'!$E:$E,"&lt;=9/30/2025",'Cats - 2025'!$J:$J,"Shelter")</f>
        <v>0</v>
      </c>
      <c r="K43">
        <f>COUNTIFS('Cats - 2025'!$D:$D,"Adult",'Cats - 2025'!$E:$E,"&gt;=09/01/2025",'Cats - 2025'!$E:$E,"&lt;=9/30/2025",'Cats - 2025'!$J:$J,"Shelter")</f>
        <v>0</v>
      </c>
      <c r="L43">
        <f>COUNTIFS('Cats - 2025'!$D:$D,"Senior",'Cats - 2025'!$E:$E,"&gt;=09/01/2025",'Cats - 2025'!$E:$E,"&lt;=9/30/2025",'Cats - 2025'!$J:$J,"Shelter")</f>
        <v>0</v>
      </c>
      <c r="M43" s="9">
        <f t="shared" si="8"/>
        <v>0</v>
      </c>
    </row>
    <row r="44" spans="1:13" x14ac:dyDescent="0.2">
      <c r="A44" t="s">
        <v>345</v>
      </c>
      <c r="B44">
        <f>COUNTIFS('Cats - 2025'!$D:$D,"0-6 months",'Cats - 2025'!$E:$E,"&gt;=10/01/2025",'Cats - 2025'!$E:$E,"&lt;=10/31/2025",'Cats - 2025'!$J:$J,"DOA")</f>
        <v>0</v>
      </c>
      <c r="C44">
        <f>COUNTIFS('Cats - 2025'!$D:$D,"6-12 months",'Cats - 2025'!$E:$E,"&gt;=10/01/2025",'Cats - 2025'!$E:$E,"&lt;=10/31/2025",'Cats - 2025'!$J:$J,"DOA")</f>
        <v>0</v>
      </c>
      <c r="D44">
        <f>COUNTIFS('Cats - 2025'!$D:$D,"Adult",'Cats - 2025'!$E:$E,"&gt;=10/01/2025",'Cats - 2025'!$E:$E,"&lt;=10/31/2025",'Cats - 2025'!$J:$J,"DOA")</f>
        <v>0</v>
      </c>
      <c r="E44">
        <f>COUNTIFS('Cats - 2025'!$D:$D,"Senior",'Cats - 2025'!$E:$E,"&gt;=10/01/2025",'Cats - 2025'!$E:$E,"&lt;=10/31/2025",'Cats - 2025'!$J:$J,"DOA")</f>
        <v>0</v>
      </c>
      <c r="F44" s="9">
        <f t="shared" si="7"/>
        <v>0</v>
      </c>
      <c r="H44" t="s">
        <v>345</v>
      </c>
      <c r="I44">
        <f>COUNTIFS('Cats - 2025'!$D:$D,"0-6 months",'Cats - 2025'!$E:$E,"&gt;=10/01/2025",'Cats - 2025'!$E:$E,"&lt;=10/31/2025",'Cats - 2025'!$J:$J,"Shelter")</f>
        <v>0</v>
      </c>
      <c r="J44">
        <f>COUNTIFS('Cats - 2025'!$D:$D,"6-12 months",'Cats - 2025'!$E:$E,"&gt;=10/01/2025",'Cats - 2025'!$E:$E,"&lt;=10/31/2025",'Cats - 2025'!$J:$J,"Shelter")</f>
        <v>0</v>
      </c>
      <c r="K44">
        <f>COUNTIFS('Cats - 2025'!$D:$D,"Adult",'Cats - 2025'!$E:$E,"&gt;=10/01/2025",'Cats - 2025'!$E:$E,"&lt;=10/31/2025",'Cats - 2025'!$J:$J,"Shelter")</f>
        <v>0</v>
      </c>
      <c r="L44">
        <f>COUNTIFS('Cats - 2025'!$D:$D,"Senior",'Cats - 2025'!$E:$E,"&gt;=10/01/2025",'Cats - 2025'!$E:$E,"&lt;=10/31/2025",'Cats - 2025'!$J:$J,"Shelter")</f>
        <v>0</v>
      </c>
      <c r="M44" s="9">
        <f t="shared" si="8"/>
        <v>0</v>
      </c>
    </row>
    <row r="45" spans="1:13" x14ac:dyDescent="0.2">
      <c r="A45" t="s">
        <v>346</v>
      </c>
      <c r="B45">
        <f>COUNTIFS('Cats - 2025'!$D:$D,"0-6 months",'Cats - 2025'!$E:$E,"&gt;=11/01/2025",'Cats - 2025'!$E:$E,"&lt;=11/30/2025",'Cats - 2025'!$J:$J,"DOA")</f>
        <v>0</v>
      </c>
      <c r="C45">
        <f>COUNTIFS('Cats - 2025'!$D:$D,"6-12 months",'Cats - 2025'!$E:$E,"&gt;=11/01/2025",'Cats - 2025'!$E:$E,"&lt;=11/30/2025",'Cats - 2025'!$J:$J,"DOA")</f>
        <v>0</v>
      </c>
      <c r="D45">
        <f>COUNTIFS('Cats - 2025'!$D:$D,"Adult",'Cats - 2025'!$E:$E,"&gt;=11/01/2025",'Cats - 2025'!$E:$E,"&lt;=11/30/2025",'Cats - 2025'!$J:$J,"DOA")</f>
        <v>0</v>
      </c>
      <c r="E45">
        <f>COUNTIFS('Cats - 2025'!$D:$D,"Senior",'Cats - 2025'!$E:$E,"&gt;=11/01/2025",'Cats - 2025'!$E:$E,"&lt;=11/30/2025",'Cats - 2025'!$J:$J,"DOA")</f>
        <v>0</v>
      </c>
      <c r="F45" s="9">
        <f t="shared" si="7"/>
        <v>0</v>
      </c>
      <c r="H45" t="s">
        <v>346</v>
      </c>
      <c r="I45">
        <f>COUNTIFS('Cats - 2025'!$D:$D,"0-6 months",'Cats - 2025'!$E:$E,"&gt;=11/01/2025",'Cats - 2025'!$E:$E,"&lt;=11/30/2025",'Cats - 2025'!$J:$J,"Shelter")</f>
        <v>0</v>
      </c>
      <c r="J45">
        <f>COUNTIFS('Cats - 2025'!$D:$D,"6-12 months",'Cats - 2025'!$E:$E,"&gt;=11/01/2025",'Cats - 2025'!$E:$E,"&lt;=11/30/2025",'Cats - 2025'!$J:$J,"Shelter")</f>
        <v>0</v>
      </c>
      <c r="K45">
        <f>COUNTIFS('Cats - 2025'!$D:$D,"Adult",'Cats - 2025'!$E:$E,"&gt;=11/01/2025",'Cats - 2025'!$E:$E,"&lt;=11/30/2025",'Cats - 2025'!$J:$J,"Shelter")</f>
        <v>0</v>
      </c>
      <c r="L45">
        <f>COUNTIFS('Cats - 2025'!$D:$D,"Senior",'Cats - 2025'!$E:$E,"&gt;=11/01/2025",'Cats - 2025'!$E:$E,"&lt;=11/30/2025",'Cats - 2025'!$J:$J,"Shelter")</f>
        <v>0</v>
      </c>
      <c r="M45" s="9">
        <f t="shared" si="8"/>
        <v>0</v>
      </c>
    </row>
    <row r="46" spans="1:13" x14ac:dyDescent="0.2">
      <c r="A46" t="s">
        <v>347</v>
      </c>
      <c r="B46">
        <f>COUNTIFS('Cats - 2025'!$D:$D,"0-6 months",'Cats - 2025'!$E:$E,"&gt;=12/01/2025",'Cats - 2025'!$E:$E,"&lt;=12/31/2025",'Cats - 2025'!$J:$J,"DOA")</f>
        <v>0</v>
      </c>
      <c r="C46">
        <f>COUNTIFS('Cats - 2025'!$D:$D,"6-12 months",'Cats - 2025'!$E:$E,"&gt;=12/01/2025",'Cats - 2025'!$E:$E,"&lt;=12/31/2025",'Cats - 2025'!$J:$J,"DOA")</f>
        <v>0</v>
      </c>
      <c r="D46">
        <f>COUNTIFS('Cats - 2025'!$D:$D,"Adult",'Cats - 2025'!$E:$E,"&gt;=12/01/2025",'Cats - 2025'!$E:$E,"&lt;=12/31/2025",'Cats - 2025'!$J:$J,"DOA")</f>
        <v>0</v>
      </c>
      <c r="E46">
        <f>COUNTIFS('Cats - 2025'!$D:$D,"Senior",'Cats - 2025'!$E:$E,"&gt;=12/01/2025",'Cats - 2025'!$E:$E,"&lt;=12/31/2025",'Cats - 2025'!$J:$J,"DOA")</f>
        <v>0</v>
      </c>
      <c r="F46" s="9">
        <f t="shared" si="7"/>
        <v>0</v>
      </c>
      <c r="H46" t="s">
        <v>347</v>
      </c>
      <c r="I46">
        <f>COUNTIFS('Cats - 2025'!$D:$D,"0-6 months",'Cats - 2025'!$E:$E,"&gt;=12/01/2025",'Cats - 2025'!$E:$E,"&lt;=12/31/2025",'Cats - 2025'!$J:$J,"Shelter")</f>
        <v>0</v>
      </c>
      <c r="J46">
        <f>COUNTIFS('Cats - 2025'!$D:$D,"6-12 months",'Cats - 2025'!$E:$E,"&gt;=12/01/2025",'Cats - 2025'!$E:$E,"&lt;=12/31/2025",'Cats - 2025'!$J:$J,"Shelter")</f>
        <v>0</v>
      </c>
      <c r="K46">
        <f>COUNTIFS('Cats - 2025'!$D:$D,"Adult",'Cats - 2025'!$E:$E,"&gt;=12/01/2025",'Cats - 2025'!$E:$E,"&lt;=12/31/2025",'Cats - 2025'!$J:$J,"Shelter")</f>
        <v>0</v>
      </c>
      <c r="L46">
        <f>COUNTIFS('Cats - 2025'!$D:$D,"Senior",'Cats - 2025'!$E:$E,"&gt;=12/01/2025",'Cats - 2025'!$E:$E,"&lt;=12/31/2025",'Cats - 2025'!$J:$J,"Shelter")</f>
        <v>0</v>
      </c>
      <c r="M46" s="9">
        <f t="shared" si="8"/>
        <v>0</v>
      </c>
    </row>
    <row r="47" spans="1:13" x14ac:dyDescent="0.2">
      <c r="A47" s="12"/>
      <c r="B47" s="12">
        <f>SUM(B35:B46)</f>
        <v>14</v>
      </c>
      <c r="C47" s="12">
        <f>SUM(C35:C46)</f>
        <v>0</v>
      </c>
      <c r="D47" s="12">
        <f>SUM(D35:D46)</f>
        <v>2</v>
      </c>
      <c r="E47" s="12">
        <f>SUM(E35:E46)</f>
        <v>0</v>
      </c>
      <c r="F47" s="12">
        <f>SUM(F35:F46)</f>
        <v>16</v>
      </c>
      <c r="H47" s="12"/>
      <c r="I47" s="12">
        <f>SUM(I35:I46)</f>
        <v>11</v>
      </c>
      <c r="J47" s="12">
        <f>SUM(J35:J46)</f>
        <v>1</v>
      </c>
      <c r="K47" s="12">
        <f>SUM(K35:K46)</f>
        <v>7</v>
      </c>
      <c r="L47" s="12">
        <f>SUM(L35:L46)</f>
        <v>0</v>
      </c>
      <c r="M47" s="12">
        <f>SUM(M35:M46)</f>
        <v>19</v>
      </c>
    </row>
    <row r="49" spans="1:6" ht="24" x14ac:dyDescent="0.2">
      <c r="A49" s="40" t="s">
        <v>582</v>
      </c>
      <c r="B49" s="40"/>
      <c r="C49" s="40"/>
      <c r="D49" s="40"/>
      <c r="E49" s="40"/>
      <c r="F49" s="16">
        <f>F63/$F$15</f>
        <v>1.1916583912611719E-2</v>
      </c>
    </row>
    <row r="50" spans="1:6" x14ac:dyDescent="0.2">
      <c r="A50" s="8"/>
      <c r="B50" s="13" t="s">
        <v>208</v>
      </c>
      <c r="C50" s="13" t="s">
        <v>209</v>
      </c>
      <c r="D50" s="13" t="s">
        <v>207</v>
      </c>
      <c r="E50" s="13" t="s">
        <v>210</v>
      </c>
      <c r="F50" s="14" t="s">
        <v>201</v>
      </c>
    </row>
    <row r="51" spans="1:6" x14ac:dyDescent="0.2">
      <c r="A51" t="s">
        <v>336</v>
      </c>
      <c r="B51">
        <f>COUNTIFS('Cats - 2025'!$D:$D,"0-6 months",'Cats - 2025'!$E:$E,"&gt;=01/01/2025",'Cats - 2025'!$E:$E,"&lt;=1/31/2025",'Cats - 2025'!$J:$J,"RTO")</f>
        <v>0</v>
      </c>
      <c r="C51">
        <f>COUNTIFS('Cats - 2025'!$D:$D,"6-12 months",'Cats - 2025'!$E:$E,"&gt;=01/01/2025",'Cats - 2025'!$E:$E,"&lt;=1/31/2025",'Cats - 2025'!$J:$J,"RTO")</f>
        <v>0</v>
      </c>
      <c r="D51">
        <f>COUNTIFS('Cats - 2025'!$D:$D,"Adult",'Cats - 2025'!$E:$E,"&gt;=01/01/2025",'Cats - 2025'!$E:$E,"&lt;=1/31/2025",'Cats - 2025'!$J:$J,"RTO")</f>
        <v>0</v>
      </c>
      <c r="E51">
        <f>COUNTIFS('Cats - 2025'!$D:$D,"Senior",'Cats - 2025'!$E:$E,"&gt;=01/01/2025",'Cats - 2025'!$E:$E,"&lt;=1/31/2025",'Cats - 2025'!$J:$J,"RTO")</f>
        <v>0</v>
      </c>
      <c r="F51" s="9">
        <f>SUM(B51:E51)</f>
        <v>0</v>
      </c>
    </row>
    <row r="52" spans="1:6" x14ac:dyDescent="0.2">
      <c r="A52" t="s">
        <v>337</v>
      </c>
      <c r="B52">
        <f>COUNTIFS('Cats - 2025'!$D:$D,"0-6 months",'Cats - 2025'!$E:$E,"&gt;=02/01/2025",'Cats - 2025'!$E:$E,"&lt;=2/28/2025",'Cats - 2025'!$J:$J,"RTO")</f>
        <v>1</v>
      </c>
      <c r="C52">
        <f>COUNTIFS('Cats - 2025'!$D:$D,"6-12 months",'Cats - 2025'!$E:$E,"&gt;=02/01/2025",'Cats - 2025'!$E:$E,"&lt;=2/28/2025",'Cats - 2025'!$J:$J,"RTO")</f>
        <v>0</v>
      </c>
      <c r="D52">
        <f>COUNTIFS('Cats - 2025'!$D:$D,"Adult",'Cats - 2025'!$E:$E,"&gt;=02/01/2025",'Cats - 2025'!$E:$E,"&lt;=2/28/2025",'Cats - 2025'!$J:$J,"RTO")</f>
        <v>0</v>
      </c>
      <c r="E52">
        <f>COUNTIFS('Cats - 2025'!$D:$D,"Senior",'Cats - 2025'!$E:$E,"&gt;=02/01/2025",'Cats - 2025'!$E:$E,"&lt;=2/28/2025",'Cats - 2025'!$J:$J,"RTO")</f>
        <v>0</v>
      </c>
      <c r="F52" s="9">
        <f t="shared" ref="F52:F62" si="9">SUM(B52:E52)</f>
        <v>1</v>
      </c>
    </row>
    <row r="53" spans="1:6" x14ac:dyDescent="0.2">
      <c r="A53" t="s">
        <v>338</v>
      </c>
      <c r="B53">
        <f>COUNTIFS('Cats - 2025'!$D:$D,"0-6 months",'Cats - 2025'!$E:$E,"&gt;=03/01/2025",'Cats - 2025'!$E:$E,"&lt;=3/31/2025",'Cats - 2025'!$J:$J,"RTO")</f>
        <v>0</v>
      </c>
      <c r="C53">
        <f>COUNTIFS('Cats - 2025'!$D:$D,"6-12 months",'Cats - 2025'!$E:$E,"&gt;=03/01/2025",'Cats - 2025'!$E:$E,"&lt;=3/31/2025",'Cats - 2025'!$J:$J,"RTO")</f>
        <v>0</v>
      </c>
      <c r="D53">
        <f>COUNTIFS('Cats - 2025'!$D:$D,"Adult",'Cats - 2025'!$E:$E,"&gt;=03/01/2025",'Cats - 2025'!$E:$E,"&lt;=3/31/2025",'Cats - 2025'!$J:$J,"RTO")</f>
        <v>0</v>
      </c>
      <c r="E53">
        <f>COUNTIFS('Cats - 2025'!$D:$D,"Senior",'Cats - 2025'!$E:$E,"&gt;=03/01/2025",'Cats - 2025'!$E:$E,"&lt;=3/31/2025",'Cats - 2025'!$J:$J,"RTO")</f>
        <v>0</v>
      </c>
      <c r="F53" s="9">
        <f t="shared" si="9"/>
        <v>0</v>
      </c>
    </row>
    <row r="54" spans="1:6" x14ac:dyDescent="0.2">
      <c r="A54" t="s">
        <v>339</v>
      </c>
      <c r="B54">
        <f>COUNTIFS('Cats - 2025'!$D:$D,"0-6 months",'Cats - 2025'!$E:$E,"&gt;=04/01/2025",'Cats - 2025'!$E:$E,"&lt;=4/30/2025",'Cats - 2025'!$J:$J,"RTO")</f>
        <v>0</v>
      </c>
      <c r="C54">
        <f>COUNTIFS('Cats - 2025'!$D:$D,"6-12 months",'Cats - 2025'!$E:$E,"&gt;=04/01/2025",'Cats - 2025'!$E:$E,"&lt;=4/30/2025",'Cats - 2025'!$J:$J,"RTO")</f>
        <v>0</v>
      </c>
      <c r="D54">
        <f>COUNTIFS('Cats - 2025'!$D:$D,"Adult",'Cats - 2025'!$E:$E,"&gt;=04/01/2025",'Cats - 2025'!$E:$E,"&lt;=4/30/2025",'Cats - 2025'!$J:$J,"RTO")</f>
        <v>2</v>
      </c>
      <c r="E54">
        <f>COUNTIFS('Cats - 2025'!$D:$D,"Senior",'Cats - 2025'!$E:$E,"&gt;=04/01/2025",'Cats - 2025'!$E:$E,"&lt;=4/30/2025",'Cats - 2025'!$J:$J,"RTO")</f>
        <v>1</v>
      </c>
      <c r="F54" s="9">
        <f t="shared" si="9"/>
        <v>3</v>
      </c>
    </row>
    <row r="55" spans="1:6" x14ac:dyDescent="0.2">
      <c r="A55" t="s">
        <v>340</v>
      </c>
      <c r="B55">
        <f>COUNTIFS('Cats - 2025'!$D:$D,"0-6 months",'Cats - 2025'!$E:$E,"&gt;=05/01/2025",'Cats - 2025'!$E:$E,"&lt;=5/31/2025",'Cats - 2025'!$J:$J,"RTO")</f>
        <v>0</v>
      </c>
      <c r="C55">
        <f>COUNTIFS('Cats - 2025'!$D:$D,"6-12 months",'Cats - 2025'!$E:$E,"&gt;=05/01/2025",'Cats - 2025'!$E:$E,"&lt;=5/31/2025",'Cats - 2025'!$J:$J,"RTO")</f>
        <v>0</v>
      </c>
      <c r="D55">
        <f>COUNTIFS('Cats - 2025'!$D:$D,"Adult",'Cats - 2025'!$E:$E,"&gt;=05/01/2025",'Cats - 2025'!$E:$E,"&lt;=5/31/2025",'Cats - 2025'!$J:$J,"RTO")</f>
        <v>0</v>
      </c>
      <c r="E55">
        <f>COUNTIFS('Cats - 2025'!$D:$D,"Senior",'Cats - 2025'!$E:$E,"&gt;=05/01/2025",'Cats - 2025'!$E:$E,"&lt;=5/31/2025",'Cats - 2025'!$J:$J,"RTO")</f>
        <v>0</v>
      </c>
      <c r="F55" s="9">
        <f t="shared" si="9"/>
        <v>0</v>
      </c>
    </row>
    <row r="56" spans="1:6" x14ac:dyDescent="0.2">
      <c r="A56" t="s">
        <v>341</v>
      </c>
      <c r="B56">
        <f>COUNTIFS('Cats - 2025'!$D:$D,"0-6 months",'Cats - 2025'!$E:$E,"&gt;=06/01/2025",'Cats - 2025'!$E:$E,"&lt;=6/30/2025",'Cats - 2025'!$J:$J,"RTO")</f>
        <v>0</v>
      </c>
      <c r="C56">
        <f>COUNTIFS('Cats - 2025'!$D:$D,"6-12 months",'Cats - 2025'!$E:$E,"&gt;=06/01/2025",'Cats - 2025'!$E:$E,"&lt;=6/30/2025",'Cats - 2025'!$J:$J,"RTO")</f>
        <v>0</v>
      </c>
      <c r="D56">
        <f>COUNTIFS('Cats - 2025'!$D:$D,"Adult",'Cats - 2025'!$E:$E,"&gt;=06/01/2025",'Cats - 2025'!$E:$E,"&lt;=6/30/2025",'Cats - 2025'!$J:$J,"RTO")</f>
        <v>2</v>
      </c>
      <c r="E56">
        <f>COUNTIFS('Cats - 2025'!$D:$D,"Senior",'Cats - 2025'!$E:$E,"&gt;=06/01/2025",'Cats - 2025'!$E:$E,"&lt;=6/30/2025",'Cats - 2025'!$J:$J,"RTO")</f>
        <v>0</v>
      </c>
      <c r="F56" s="9">
        <f t="shared" si="9"/>
        <v>2</v>
      </c>
    </row>
    <row r="57" spans="1:6" x14ac:dyDescent="0.2">
      <c r="A57" t="s">
        <v>342</v>
      </c>
      <c r="B57">
        <f>COUNTIFS('Cats - 2025'!$D:$D,"0-6 months",'Cats - 2025'!$E:$E,"&gt;=07/01/2025",'Cats - 2025'!$E:$E,"&lt;=7/31/2025",'Cats - 2025'!$J:$J,"RTO")</f>
        <v>0</v>
      </c>
      <c r="C57">
        <f>COUNTIFS('Cats - 2025'!$D:$D,"6-12 months",'Cats - 2025'!$E:$E,"&gt;=07/01/2025",'Cats - 2025'!$E:$E,"&lt;=7/31/2025",'Cats - 2025'!$J:$J,"RTO")</f>
        <v>0</v>
      </c>
      <c r="D57">
        <f>COUNTIFS('Cats - 2025'!$D:$D,"Adult",'Cats - 2025'!$E:$E,"&gt;=07/01/2025",'Cats - 2025'!$E:$E,"&lt;=7/31/2025",'Cats - 2025'!$J:$J,"RTO")</f>
        <v>3</v>
      </c>
      <c r="E57">
        <f>COUNTIFS('Cats - 2025'!$D:$D,"Senior",'Cats - 2025'!$E:$E,"&gt;=07/01/2025",'Cats - 2025'!$E:$E,"&lt;=7/31/2025",'Cats - 2025'!$J:$J,"RTO")</f>
        <v>0</v>
      </c>
      <c r="F57" s="9">
        <f t="shared" si="9"/>
        <v>3</v>
      </c>
    </row>
    <row r="58" spans="1:6" x14ac:dyDescent="0.2">
      <c r="A58" t="s">
        <v>343</v>
      </c>
      <c r="B58">
        <f>COUNTIFS('Cats - 2025'!$D:$D,"0-6 months",'Cats - 2025'!$E:$E,"&gt;=08/01/2025",'Cats - 2025'!$E:$E,"&lt;=8/31/2025",'Cats - 2025'!$J:$J,"RTO")</f>
        <v>1</v>
      </c>
      <c r="C58">
        <f>COUNTIFS('Cats - 2025'!$D:$D,"6-12 months",'Cats - 2025'!$E:$E,"&gt;=08/01/2025",'Cats - 2025'!$E:$E,"&lt;=8/31/2025",'Cats - 2025'!$J:$J,"RTO")</f>
        <v>0</v>
      </c>
      <c r="D58">
        <f>COUNTIFS('Cats - 2025'!$D:$D,"Adult",'Cats - 2025'!$E:$E,"&gt;=08/01/2025",'Cats - 2025'!$E:$E,"&lt;=8/31/2025",'Cats - 2025'!$J:$J,"RTO")</f>
        <v>2</v>
      </c>
      <c r="E58">
        <f>COUNTIFS('Cats - 2025'!$D:$D,"Senior",'Cats - 2025'!$E:$E,"&gt;=08/01/2025",'Cats - 2025'!$E:$E,"&lt;=8/31/2025",'Cats - 2025'!$J:$J,"RTO")</f>
        <v>0</v>
      </c>
      <c r="F58" s="9">
        <f t="shared" si="9"/>
        <v>3</v>
      </c>
    </row>
    <row r="59" spans="1:6" x14ac:dyDescent="0.2">
      <c r="A59" t="s">
        <v>344</v>
      </c>
      <c r="B59">
        <f>COUNTIFS('Cats - 2025'!$D:$D,"0-6 months",'Cats - 2025'!$E:$E,"&gt;=09/01/2025",'Cats - 2025'!$E:$E,"&lt;=9/30/2025",'Cats - 2025'!$J:$J,"RTO")</f>
        <v>0</v>
      </c>
      <c r="C59">
        <f>COUNTIFS('Cats - 2025'!$D:$D,"6-12 months",'Cats - 2025'!$E:$E,"&gt;=09/01/2025",'Cats - 2025'!$E:$E,"&lt;=9/30/2025",'Cats - 2025'!$J:$J,"RTO")</f>
        <v>0</v>
      </c>
      <c r="D59">
        <f>COUNTIFS('Cats - 2025'!$D:$D,"Adult",'Cats - 2025'!$E:$E,"&gt;=09/01/2025",'Cats - 2025'!$E:$E,"&lt;=9/30/2025",'Cats - 2025'!$J:$J,"RTO")</f>
        <v>0</v>
      </c>
      <c r="E59">
        <f>COUNTIFS('Cats - 2025'!$D:$D,"Senior",'Cats - 2025'!$E:$E,"&gt;=09/01/2025",'Cats - 2025'!$E:$E,"&lt;=9/30/2025",'Cats - 2025'!$J:$J,"RTO")</f>
        <v>0</v>
      </c>
      <c r="F59" s="9">
        <f t="shared" si="9"/>
        <v>0</v>
      </c>
    </row>
    <row r="60" spans="1:6" x14ac:dyDescent="0.2">
      <c r="A60" t="s">
        <v>345</v>
      </c>
      <c r="B60">
        <f>COUNTIFS('Cats - 2025'!$D:$D,"0-6 months",'Cats - 2025'!$E:$E,"&gt;=10/01/2025",'Cats - 2025'!$E:$E,"&lt;=10/31/2025",'Cats - 2025'!$J:$J,"RTO")</f>
        <v>0</v>
      </c>
      <c r="C60">
        <f>COUNTIFS('Cats - 2025'!$D:$D,"6-12 months",'Cats - 2025'!$E:$E,"&gt;=10/01/2025",'Cats - 2025'!$E:$E,"&lt;=10/31/2025",'Cats - 2025'!$J:$J,"RTO")</f>
        <v>0</v>
      </c>
      <c r="D60">
        <f>COUNTIFS('Cats - 2025'!$D:$D,"Adult",'Cats - 2025'!$E:$E,"&gt;=10/01/2025",'Cats - 2025'!$E:$E,"&lt;=10/31/2025",'Cats - 2025'!$J:$J,"RTO")</f>
        <v>0</v>
      </c>
      <c r="E60">
        <f>COUNTIFS('Cats - 2025'!$D:$D,"Senior",'Cats - 2025'!$E:$E,"&gt;=10/01/2025",'Cats - 2025'!$E:$E,"&lt;=10/31/2025",'Cats - 2025'!$J:$J,"RTO")</f>
        <v>0</v>
      </c>
      <c r="F60" s="9">
        <f t="shared" si="9"/>
        <v>0</v>
      </c>
    </row>
    <row r="61" spans="1:6" x14ac:dyDescent="0.2">
      <c r="A61" t="s">
        <v>346</v>
      </c>
      <c r="B61">
        <f>COUNTIFS('Cats - 2025'!$D:$D,"0-6 months",'Cats - 2025'!$E:$E,"&gt;=11/01/2025",'Cats - 2025'!$E:$E,"&lt;=11/30/2025",'Cats - 2025'!$J:$J,"RTO")</f>
        <v>0</v>
      </c>
      <c r="C61">
        <f>COUNTIFS('Cats - 2025'!$D:$D,"6-12 months",'Cats - 2025'!$E:$E,"&gt;=11/01/2025",'Cats - 2025'!$E:$E,"&lt;=11/30/2025",'Cats - 2025'!$J:$J,"RTO")</f>
        <v>0</v>
      </c>
      <c r="D61">
        <f>COUNTIFS('Cats - 2025'!$D:$D,"Adult",'Cats - 2025'!$E:$E,"&gt;=11/01/2025",'Cats - 2025'!$E:$E,"&lt;=11/30/2025",'Cats - 2025'!$J:$J,"RTO")</f>
        <v>0</v>
      </c>
      <c r="E61">
        <f>COUNTIFS('Cats - 2025'!$D:$D,"Senior",'Cats - 2025'!$E:$E,"&gt;=11/01/2025",'Cats - 2025'!$E:$E,"&lt;=11/30/2025",'Cats - 2025'!$J:$J,"RTO")</f>
        <v>0</v>
      </c>
      <c r="F61" s="9">
        <f t="shared" si="9"/>
        <v>0</v>
      </c>
    </row>
    <row r="62" spans="1:6" x14ac:dyDescent="0.2">
      <c r="A62" t="s">
        <v>347</v>
      </c>
      <c r="B62">
        <f>COUNTIFS('Cats - 2025'!$D:$D,"0-6 months",'Cats - 2025'!$E:$E,"&gt;=12/01/2025",'Cats - 2025'!$E:$E,"&lt;=12/31/2025",'Cats - 2025'!$J:$J,"RTO")</f>
        <v>0</v>
      </c>
      <c r="C62">
        <f>COUNTIFS('Cats - 2025'!$D:$D,"6-12 months",'Cats - 2025'!$E:$E,"&gt;=12/01/2025",'Cats - 2025'!$E:$E,"&lt;=12/31/2025",'Cats - 2025'!$J:$J,"RTO")</f>
        <v>0</v>
      </c>
      <c r="D62">
        <f>COUNTIFS('Cats - 2025'!$D:$D,"Adult",'Cats - 2025'!$E:$E,"&gt;=12/01/2025",'Cats - 2025'!$E:$E,"&lt;=12/31/2025",'Cats - 2025'!$J:$J,"RTO")</f>
        <v>0</v>
      </c>
      <c r="E62">
        <f>COUNTIFS('Cats - 2025'!$D:$D,"Senior",'Cats - 2025'!$E:$E,"&gt;=12/01/2025",'Cats - 2025'!$E:$E,"&lt;=12/31/2025",'Cats - 2025'!$J:$J,"RTO")</f>
        <v>0</v>
      </c>
      <c r="F62" s="9">
        <f t="shared" si="9"/>
        <v>0</v>
      </c>
    </row>
    <row r="63" spans="1:6" x14ac:dyDescent="0.2">
      <c r="A63" s="12"/>
      <c r="B63" s="12">
        <f>SUM(B51:B62)</f>
        <v>2</v>
      </c>
      <c r="C63" s="12">
        <f>SUM(C51:C62)</f>
        <v>0</v>
      </c>
      <c r="D63" s="12">
        <f>SUM(D51:D62)</f>
        <v>9</v>
      </c>
      <c r="E63" s="12">
        <f>SUM(E51:E62)</f>
        <v>1</v>
      </c>
      <c r="F63" s="12">
        <f>SUM(F51:F62)</f>
        <v>12</v>
      </c>
    </row>
  </sheetData>
  <mergeCells count="9">
    <mergeCell ref="P1:U1"/>
    <mergeCell ref="A49:E49"/>
    <mergeCell ref="M1:N1"/>
    <mergeCell ref="A1:E1"/>
    <mergeCell ref="H1:L1"/>
    <mergeCell ref="H17:L17"/>
    <mergeCell ref="A17:E17"/>
    <mergeCell ref="A33:E33"/>
    <mergeCell ref="H33:L33"/>
  </mergeCells>
  <phoneticPr fontId="3" type="noConversion"/>
  <pageMargins left="0.7" right="0.7" top="0.75" bottom="0.75" header="0.3" footer="0.3"/>
  <pageSetup scale="31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89E7C-A39F-8947-B703-2ED62A2C0101}">
  <sheetPr>
    <tabColor theme="4" tint="0.59999389629810485"/>
  </sheetPr>
  <dimension ref="A1:AD1767"/>
  <sheetViews>
    <sheetView tabSelected="1" zoomScale="120" zoomScaleNormal="120" workbookViewId="0">
      <pane xSplit="1" ySplit="2" topLeftCell="B983" activePane="bottomRight" state="frozen"/>
      <selection pane="topRight" activeCell="B1" sqref="B1"/>
      <selection pane="bottomLeft" activeCell="A3" sqref="A3"/>
      <selection pane="bottomRight" activeCell="A990" sqref="A990"/>
    </sheetView>
  </sheetViews>
  <sheetFormatPr baseColWidth="10" defaultRowHeight="16" x14ac:dyDescent="0.2"/>
  <cols>
    <col min="1" max="1" width="18.1640625" style="21" customWidth="1"/>
    <col min="2" max="2" width="21" style="2" customWidth="1"/>
    <col min="3" max="3" width="19.6640625" customWidth="1"/>
    <col min="4" max="4" width="24.6640625" customWidth="1"/>
    <col min="5" max="5" width="13.5" style="2" customWidth="1"/>
    <col min="6" max="6" width="12.5" style="2" customWidth="1"/>
    <col min="7" max="7" width="12.1640625" style="2" customWidth="1"/>
    <col min="8" max="8" width="13.5" style="5" customWidth="1"/>
    <col min="9" max="9" width="16.83203125" style="5" customWidth="1"/>
    <col min="10" max="10" width="19.1640625" customWidth="1"/>
    <col min="11" max="11" width="16.33203125" customWidth="1"/>
    <col min="12" max="12" width="15.5" customWidth="1"/>
    <col min="13" max="13" width="49.33203125" customWidth="1"/>
    <col min="15" max="15" width="3.6640625" customWidth="1"/>
    <col min="16" max="16" width="19.1640625" customWidth="1"/>
    <col min="18" max="18" width="6.5" customWidth="1"/>
    <col min="19" max="19" width="6.33203125" customWidth="1"/>
    <col min="21" max="21" width="13.83203125" customWidth="1"/>
    <col min="30" max="30" width="17.1640625" style="33" customWidth="1"/>
  </cols>
  <sheetData>
    <row r="1" spans="1:30" x14ac:dyDescent="0.2">
      <c r="A1" s="42" t="s">
        <v>6</v>
      </c>
      <c r="B1" s="38" t="s">
        <v>42</v>
      </c>
      <c r="C1" s="36" t="s">
        <v>1</v>
      </c>
      <c r="D1" s="7"/>
      <c r="E1" s="38" t="s">
        <v>2</v>
      </c>
      <c r="F1" s="38" t="s">
        <v>176</v>
      </c>
      <c r="G1" s="38" t="s">
        <v>3</v>
      </c>
      <c r="H1" s="35" t="s">
        <v>178</v>
      </c>
      <c r="I1" s="35"/>
      <c r="J1" s="36" t="s">
        <v>4</v>
      </c>
      <c r="K1" s="7"/>
      <c r="L1" s="36" t="s">
        <v>12</v>
      </c>
      <c r="M1" s="37" t="s">
        <v>5</v>
      </c>
    </row>
    <row r="2" spans="1:30" x14ac:dyDescent="0.2">
      <c r="A2" s="42"/>
      <c r="B2" s="38"/>
      <c r="C2" s="36"/>
      <c r="D2" s="7" t="s">
        <v>0</v>
      </c>
      <c r="E2" s="38"/>
      <c r="F2" s="38"/>
      <c r="G2" s="38"/>
      <c r="H2" s="6" t="s">
        <v>201</v>
      </c>
      <c r="I2" s="6" t="s">
        <v>202</v>
      </c>
      <c r="J2" s="36"/>
      <c r="K2" s="7" t="s">
        <v>585</v>
      </c>
      <c r="L2" s="36"/>
      <c r="M2" s="37"/>
      <c r="AD2" s="34" t="s">
        <v>656</v>
      </c>
    </row>
    <row r="3" spans="1:30" x14ac:dyDescent="0.2">
      <c r="A3" s="23">
        <v>39275</v>
      </c>
      <c r="B3" s="2" t="s">
        <v>179</v>
      </c>
      <c r="C3" t="s">
        <v>48</v>
      </c>
      <c r="D3" t="s">
        <v>207</v>
      </c>
      <c r="E3" s="2">
        <v>45640</v>
      </c>
      <c r="F3" s="2" cm="1">
        <f t="array" ref="F3">_xlfn.IFS(B3="Owner Surrender",E3,B3="Stray",E3+6,B3="Stray w/identification",E3+11,B3="Bite",E3+10,B3="Other",E3+30,B3="BAS",E3+56,B3="Seized",E3)</f>
        <v>45651</v>
      </c>
      <c r="G3" s="2">
        <v>45674</v>
      </c>
      <c r="H3" s="5">
        <f t="shared" ref="H3:H66" si="0">+G3-E3</f>
        <v>34</v>
      </c>
      <c r="I3" s="5">
        <f t="shared" ref="I3:I66" si="1">G3-F3</f>
        <v>23</v>
      </c>
      <c r="J3" s="2" t="s">
        <v>8</v>
      </c>
      <c r="K3" s="2" t="s">
        <v>586</v>
      </c>
      <c r="M3" t="s">
        <v>9</v>
      </c>
      <c r="Z3">
        <f>WEEKDAY(G3)</f>
        <v>6</v>
      </c>
      <c r="AD3" s="33" t="str">
        <f>TEXT(G3,"DDDD")</f>
        <v>Friday</v>
      </c>
    </row>
    <row r="4" spans="1:30" ht="19" x14ac:dyDescent="0.25">
      <c r="A4" s="23">
        <v>39336</v>
      </c>
      <c r="B4" s="2" t="s">
        <v>179</v>
      </c>
      <c r="C4" t="s">
        <v>108</v>
      </c>
      <c r="D4" t="s">
        <v>207</v>
      </c>
      <c r="E4" s="2">
        <v>45649</v>
      </c>
      <c r="F4" s="2" cm="1">
        <f t="array" ref="F4">_xlfn.IFS(B4="Owner Surrender",E4,B4="Stray",E4+6,B4="Stray w/identification",E4+11,B4="Bite",E4+10,B4="Other",E4+30,B4="BAS",E4+56,B4="Seized",E4)</f>
        <v>45660</v>
      </c>
      <c r="G4" s="2">
        <v>45659</v>
      </c>
      <c r="H4" s="5">
        <f t="shared" si="0"/>
        <v>10</v>
      </c>
      <c r="I4" s="5">
        <f t="shared" si="1"/>
        <v>-1</v>
      </c>
      <c r="J4" s="2" t="s">
        <v>8</v>
      </c>
      <c r="K4" s="2" t="s">
        <v>586</v>
      </c>
      <c r="O4" s="10" t="s">
        <v>11</v>
      </c>
      <c r="P4" s="10"/>
      <c r="Q4" s="10">
        <f>SUM(Q5:Q9)</f>
        <v>116</v>
      </c>
      <c r="R4" s="11"/>
      <c r="S4" s="10" t="s">
        <v>11</v>
      </c>
      <c r="T4" s="10"/>
      <c r="U4" s="10"/>
      <c r="AD4" s="33" t="str">
        <f t="shared" ref="AD4:AD67" si="2">TEXT(G4,"DDDD")</f>
        <v>Thursday</v>
      </c>
    </row>
    <row r="5" spans="1:30" x14ac:dyDescent="0.2">
      <c r="A5" s="23">
        <v>39409</v>
      </c>
      <c r="B5" s="2" t="s">
        <v>179</v>
      </c>
      <c r="C5" t="s">
        <v>49</v>
      </c>
      <c r="D5" t="s">
        <v>207</v>
      </c>
      <c r="E5" s="2">
        <v>45657</v>
      </c>
      <c r="F5" s="2" cm="1">
        <f t="array" ref="F5">_xlfn.IFS(B5="Owner Surrender",E5,B5="Stray",E5+6,B5="Stray w/identification",E5+11,B5="Bite",E5+10,B5="Other",E5+30,B5="BAS",E5+56,B5="Seized",E5)</f>
        <v>45668</v>
      </c>
      <c r="G5" s="2">
        <v>45659</v>
      </c>
      <c r="H5" s="5">
        <f t="shared" si="0"/>
        <v>2</v>
      </c>
      <c r="I5" s="5">
        <f t="shared" si="1"/>
        <v>-9</v>
      </c>
      <c r="J5" s="2" t="s">
        <v>8</v>
      </c>
      <c r="K5" s="2" t="s">
        <v>586</v>
      </c>
      <c r="P5" s="9" t="s">
        <v>36</v>
      </c>
      <c r="Q5" s="9">
        <f>COUNTIFS($J:$J,"Adopted",$B:$B,"Owner Surrender")</f>
        <v>56</v>
      </c>
      <c r="T5" s="9" t="s">
        <v>208</v>
      </c>
      <c r="U5" s="9">
        <f>COUNTIFS(J:J,"Adopted",D:D,"0-6 months")</f>
        <v>56</v>
      </c>
      <c r="AD5" s="33" t="str">
        <f t="shared" si="2"/>
        <v>Thursday</v>
      </c>
    </row>
    <row r="6" spans="1:30" x14ac:dyDescent="0.2">
      <c r="A6" s="23">
        <v>39411</v>
      </c>
      <c r="B6" s="2" t="s">
        <v>179</v>
      </c>
      <c r="C6" t="s">
        <v>107</v>
      </c>
      <c r="D6" t="s">
        <v>207</v>
      </c>
      <c r="E6" s="2">
        <v>45657</v>
      </c>
      <c r="F6" s="2" cm="1">
        <f t="array" ref="F6">_xlfn.IFS(B6="Owner Surrender",E6,B6="Stray",E6+6,B6="Stray w/identification",E6+11,B6="Bite",E6+10,B6="Other",E6+30,B6="BAS",E6+56,B6="Seized",E6)</f>
        <v>45668</v>
      </c>
      <c r="G6" s="2">
        <v>45659</v>
      </c>
      <c r="H6" s="5">
        <f t="shared" si="0"/>
        <v>2</v>
      </c>
      <c r="I6" s="5">
        <f t="shared" si="1"/>
        <v>-9</v>
      </c>
      <c r="J6" s="2" t="s">
        <v>8</v>
      </c>
      <c r="K6" s="2" t="s">
        <v>586</v>
      </c>
      <c r="P6" s="9" t="s">
        <v>38</v>
      </c>
      <c r="Q6" s="9">
        <f>COUNTIFS($J:$J,"Adopted",$B:$B,"Stray")</f>
        <v>53</v>
      </c>
      <c r="T6" s="9" t="s">
        <v>209</v>
      </c>
      <c r="U6" s="9">
        <f>COUNTIFS(J:J,"Adopted",D:D,"6-12 months")</f>
        <v>16</v>
      </c>
      <c r="AD6" s="33" t="str">
        <f t="shared" si="2"/>
        <v>Thursday</v>
      </c>
    </row>
    <row r="7" spans="1:30" x14ac:dyDescent="0.2">
      <c r="A7" s="23">
        <v>39412</v>
      </c>
      <c r="B7" s="2" t="s">
        <v>36</v>
      </c>
      <c r="C7" t="s">
        <v>244</v>
      </c>
      <c r="D7" t="s">
        <v>207</v>
      </c>
      <c r="E7" s="2">
        <v>45658</v>
      </c>
      <c r="F7" s="2" cm="1">
        <f t="array" ref="F7">_xlfn.IFS(B7="Owner Surrender",E7,B7="Stray",E7+6,B7="Stray w/identification",E7+11,B7="Bite",E7+10,B7="Other",E7+30,B7="BAS",E7+56,B7="Seized",E7)</f>
        <v>45658</v>
      </c>
      <c r="G7" s="2">
        <v>45667</v>
      </c>
      <c r="H7" s="5">
        <f t="shared" si="0"/>
        <v>9</v>
      </c>
      <c r="I7" s="5">
        <f t="shared" si="1"/>
        <v>9</v>
      </c>
      <c r="J7" s="2" t="s">
        <v>31</v>
      </c>
      <c r="K7" s="2" t="s">
        <v>587</v>
      </c>
      <c r="L7" t="s">
        <v>13</v>
      </c>
      <c r="M7" t="s">
        <v>417</v>
      </c>
      <c r="P7" s="9" t="s">
        <v>52</v>
      </c>
      <c r="Q7" s="9">
        <f>COUNTIFS($J:$J,"Adopted",$B:$B,"Seized")</f>
        <v>4</v>
      </c>
      <c r="T7" s="9" t="s">
        <v>207</v>
      </c>
      <c r="U7" s="9">
        <f>COUNTIFS(J:J,"Adopted",D:D,"Adult")</f>
        <v>51</v>
      </c>
      <c r="AD7" s="33" t="str">
        <f t="shared" si="2"/>
        <v>Friday</v>
      </c>
    </row>
    <row r="8" spans="1:30" x14ac:dyDescent="0.2">
      <c r="A8" s="23">
        <v>39413</v>
      </c>
      <c r="B8" s="2" t="s">
        <v>36</v>
      </c>
      <c r="C8" t="s">
        <v>244</v>
      </c>
      <c r="D8" t="s">
        <v>208</v>
      </c>
      <c r="E8" s="2">
        <v>45658</v>
      </c>
      <c r="F8" s="2" cm="1">
        <f t="array" ref="F8">_xlfn.IFS(B8="Owner Surrender",E8,B8="Stray",E8+6,B8="Stray w/identification",E8+11,B8="Bite",E8+10,B8="Other",E8+30,B8="BAS",E8+56,B8="Seized",E8)</f>
        <v>45658</v>
      </c>
      <c r="G8" s="2">
        <v>45679</v>
      </c>
      <c r="H8" s="5">
        <f t="shared" si="0"/>
        <v>21</v>
      </c>
      <c r="I8" s="5">
        <f t="shared" si="1"/>
        <v>21</v>
      </c>
      <c r="J8" s="2" t="s">
        <v>18</v>
      </c>
      <c r="K8" s="2" t="s">
        <v>586</v>
      </c>
      <c r="L8" t="s">
        <v>416</v>
      </c>
      <c r="P8" s="9" t="s">
        <v>60</v>
      </c>
      <c r="Q8" s="9">
        <f>COUNTIFS($J:$J,"Adopted",$B:$B,"Other")</f>
        <v>2</v>
      </c>
      <c r="T8" s="9" t="s">
        <v>210</v>
      </c>
      <c r="U8" s="9">
        <f>COUNTIFS(J:J,"Adopted",D:D,"Senior")</f>
        <v>0</v>
      </c>
      <c r="AD8" s="33" t="str">
        <f t="shared" si="2"/>
        <v>Wednesday</v>
      </c>
    </row>
    <row r="9" spans="1:30" ht="19" x14ac:dyDescent="0.25">
      <c r="A9" s="23">
        <v>39414</v>
      </c>
      <c r="B9" s="2" t="s">
        <v>36</v>
      </c>
      <c r="C9" t="s">
        <v>244</v>
      </c>
      <c r="D9" t="s">
        <v>208</v>
      </c>
      <c r="E9" s="2">
        <v>45658</v>
      </c>
      <c r="F9" s="2" cm="1">
        <f t="array" ref="F9">_xlfn.IFS(B9="Owner Surrender",E9,B9="Stray",E9+6,B9="Stray w/identification",E9+11,B9="Bite",E9+10,B9="Other",E9+30,B9="BAS",E9+56,B9="Seized",E9)</f>
        <v>45658</v>
      </c>
      <c r="G9" s="2">
        <v>45679</v>
      </c>
      <c r="H9" s="5">
        <f t="shared" si="0"/>
        <v>21</v>
      </c>
      <c r="I9" s="5">
        <f t="shared" si="1"/>
        <v>21</v>
      </c>
      <c r="J9" s="2" t="s">
        <v>18</v>
      </c>
      <c r="K9" s="2" t="s">
        <v>586</v>
      </c>
      <c r="P9" s="9" t="s">
        <v>204</v>
      </c>
      <c r="Q9" s="9">
        <f>COUNTIFS($J:$J,"Adopted",$B:$B,"BAS")</f>
        <v>1</v>
      </c>
      <c r="S9" s="10" t="s">
        <v>18</v>
      </c>
      <c r="T9" s="10"/>
      <c r="U9" s="10"/>
      <c r="AD9" s="33" t="str">
        <f t="shared" si="2"/>
        <v>Wednesday</v>
      </c>
    </row>
    <row r="10" spans="1:30" ht="19" x14ac:dyDescent="0.25">
      <c r="A10" s="23">
        <v>39415</v>
      </c>
      <c r="B10" s="2" t="s">
        <v>36</v>
      </c>
      <c r="C10" t="s">
        <v>244</v>
      </c>
      <c r="D10" t="s">
        <v>208</v>
      </c>
      <c r="E10" s="2">
        <v>45658</v>
      </c>
      <c r="F10" s="2" cm="1">
        <f t="array" ref="F10">_xlfn.IFS(B10="Owner Surrender",E10,B10="Stray",E10+6,B10="Stray w/identification",E10+11,B10="Bite",E10+10,B10="Other",E10+30,B10="BAS",E10+56,B10="Seized",E10)</f>
        <v>45658</v>
      </c>
      <c r="G10" s="2">
        <v>45778</v>
      </c>
      <c r="H10" s="5">
        <f t="shared" si="0"/>
        <v>120</v>
      </c>
      <c r="I10" s="5">
        <f t="shared" si="1"/>
        <v>120</v>
      </c>
      <c r="J10" s="2" t="s">
        <v>11</v>
      </c>
      <c r="K10" s="2" t="s">
        <v>586</v>
      </c>
      <c r="L10" t="s">
        <v>13</v>
      </c>
      <c r="O10" s="10" t="s">
        <v>18</v>
      </c>
      <c r="P10" s="10"/>
      <c r="Q10" s="10">
        <f>SUM(Q11:Q14)</f>
        <v>98</v>
      </c>
      <c r="T10" s="9" t="s">
        <v>208</v>
      </c>
      <c r="U10" s="9">
        <f>COUNTIFS(J:J,"Transferred",D:D,"0-6 months")</f>
        <v>36</v>
      </c>
      <c r="AD10" s="33" t="str">
        <f t="shared" si="2"/>
        <v>Thursday</v>
      </c>
    </row>
    <row r="11" spans="1:30" x14ac:dyDescent="0.2">
      <c r="A11" s="23">
        <v>39416</v>
      </c>
      <c r="B11" s="2" t="s">
        <v>179</v>
      </c>
      <c r="C11" t="s">
        <v>56</v>
      </c>
      <c r="D11" t="s">
        <v>207</v>
      </c>
      <c r="E11" s="2">
        <v>45658</v>
      </c>
      <c r="F11" s="2" cm="1">
        <f t="array" ref="F11">_xlfn.IFS(B11="Owner Surrender",E11,B11="Stray",E11+6,B11="Stray w/identification",E11+11,B11="Bite",E11+10,B11="Other",E11+30,B11="BAS",E11+56,B11="Seized",E11)</f>
        <v>45669</v>
      </c>
      <c r="G11" s="2">
        <v>45658</v>
      </c>
      <c r="H11" s="5">
        <f t="shared" si="0"/>
        <v>0</v>
      </c>
      <c r="I11" s="5">
        <f t="shared" si="1"/>
        <v>-11</v>
      </c>
      <c r="J11" s="2" t="s">
        <v>8</v>
      </c>
      <c r="K11" s="2" t="s">
        <v>586</v>
      </c>
      <c r="P11" s="9" t="s">
        <v>36</v>
      </c>
      <c r="Q11" s="9">
        <f>COUNTIFS(J:J,"Transferred",B:B,"Owner Surrender")</f>
        <v>63</v>
      </c>
      <c r="T11" s="20" t="s">
        <v>209</v>
      </c>
      <c r="U11" s="9">
        <f>COUNTIFS(J:J,"Transferred",D:D,"6-12 months")</f>
        <v>14</v>
      </c>
      <c r="AD11" s="33" t="str">
        <f t="shared" si="2"/>
        <v>Wednesday</v>
      </c>
    </row>
    <row r="12" spans="1:30" x14ac:dyDescent="0.2">
      <c r="A12" s="23">
        <v>39421</v>
      </c>
      <c r="B12" s="2" t="s">
        <v>36</v>
      </c>
      <c r="C12" t="s">
        <v>72</v>
      </c>
      <c r="D12" t="s">
        <v>207</v>
      </c>
      <c r="E12" s="2">
        <v>45659</v>
      </c>
      <c r="F12" s="2" cm="1">
        <f t="array" ref="F12">_xlfn.IFS(B12="Owner Surrender",E12,B12="Stray",E12+6,B12="Stray w/identification",E12+11,B12="Bite",E12+10,B12="Other",E12+30,B12="BAS",E12+56,B12="Seized",E12)</f>
        <v>45659</v>
      </c>
      <c r="G12" s="2">
        <v>45680</v>
      </c>
      <c r="H12" s="5">
        <f t="shared" si="0"/>
        <v>21</v>
      </c>
      <c r="I12" s="5">
        <f t="shared" si="1"/>
        <v>21</v>
      </c>
      <c r="J12" s="2" t="s">
        <v>31</v>
      </c>
      <c r="K12" s="2" t="s">
        <v>587</v>
      </c>
      <c r="L12" t="s">
        <v>278</v>
      </c>
      <c r="P12" s="9" t="s">
        <v>38</v>
      </c>
      <c r="Q12" s="9">
        <f>COUNTIFS(J:J,"Transferred",B:B,"Stray")</f>
        <v>28</v>
      </c>
      <c r="T12" s="9" t="s">
        <v>207</v>
      </c>
      <c r="U12" s="9">
        <f>COUNTIFS(J:J,"Transferred",D:D,"Adult")</f>
        <v>60</v>
      </c>
      <c r="AD12" s="33" t="str">
        <f t="shared" si="2"/>
        <v>Thursday</v>
      </c>
    </row>
    <row r="13" spans="1:30" x14ac:dyDescent="0.2">
      <c r="A13" s="23">
        <v>39422</v>
      </c>
      <c r="B13" s="2" t="s">
        <v>36</v>
      </c>
      <c r="C13" t="s">
        <v>49</v>
      </c>
      <c r="D13" t="s">
        <v>207</v>
      </c>
      <c r="E13" s="2">
        <v>45659</v>
      </c>
      <c r="F13" s="2" cm="1">
        <f t="array" ref="F13">_xlfn.IFS(B13="Owner Surrender",E13,B13="Stray",E13+6,B13="Stray w/identification",E13+11,B13="Bite",E13+10,B13="Other",E13+30,B13="BAS",E13+56,B13="Seized",E13)</f>
        <v>45659</v>
      </c>
      <c r="G13" s="2">
        <v>45664</v>
      </c>
      <c r="H13" s="5">
        <f t="shared" si="0"/>
        <v>5</v>
      </c>
      <c r="I13" s="5">
        <f t="shared" si="1"/>
        <v>5</v>
      </c>
      <c r="J13" s="2" t="s">
        <v>31</v>
      </c>
      <c r="K13" s="2" t="s">
        <v>587</v>
      </c>
      <c r="L13" t="s">
        <v>261</v>
      </c>
      <c r="P13" s="9" t="s">
        <v>52</v>
      </c>
      <c r="Q13" s="9">
        <f>COUNTIFS(J:J,"Transferred",B:B,"Seized")</f>
        <v>3</v>
      </c>
      <c r="T13" s="9" t="s">
        <v>210</v>
      </c>
      <c r="U13" s="9">
        <f>COUNTIFS(J:J,"Transferred",D:D,"Senior")</f>
        <v>0</v>
      </c>
      <c r="AD13" s="33" t="str">
        <f t="shared" si="2"/>
        <v>Tuesday</v>
      </c>
    </row>
    <row r="14" spans="1:30" ht="19" x14ac:dyDescent="0.25">
      <c r="A14" s="23">
        <v>39424</v>
      </c>
      <c r="B14" s="2" t="s">
        <v>36</v>
      </c>
      <c r="C14" t="s">
        <v>49</v>
      </c>
      <c r="D14" t="s">
        <v>207</v>
      </c>
      <c r="E14" s="2">
        <v>45660</v>
      </c>
      <c r="F14" s="2" cm="1">
        <f t="array" ref="F14">_xlfn.IFS(B14="Owner Surrender",E14,B14="Stray",E14+6,B14="Stray w/identification",E14+11,B14="Bite",E14+10,B14="Other",E14+30,B14="BAS",E14+56,B14="Seized",E14)</f>
        <v>45660</v>
      </c>
      <c r="G14" s="2">
        <v>45667</v>
      </c>
      <c r="H14" s="5">
        <f t="shared" si="0"/>
        <v>7</v>
      </c>
      <c r="I14" s="5">
        <f t="shared" si="1"/>
        <v>7</v>
      </c>
      <c r="J14" s="2" t="s">
        <v>31</v>
      </c>
      <c r="K14" s="2" t="s">
        <v>587</v>
      </c>
      <c r="L14" t="s">
        <v>277</v>
      </c>
      <c r="M14" s="2"/>
      <c r="P14" s="9" t="s">
        <v>204</v>
      </c>
      <c r="Q14" s="9">
        <f>COUNTIFS(J:J,"Transferred",B:B,"BAS")</f>
        <v>4</v>
      </c>
      <c r="S14" s="10" t="s">
        <v>31</v>
      </c>
      <c r="T14" s="10"/>
      <c r="U14" s="10"/>
      <c r="AD14" s="33" t="str">
        <f t="shared" si="2"/>
        <v>Friday</v>
      </c>
    </row>
    <row r="15" spans="1:30" x14ac:dyDescent="0.2">
      <c r="A15" s="23">
        <v>39425</v>
      </c>
      <c r="B15" s="2" t="s">
        <v>36</v>
      </c>
      <c r="C15" t="s">
        <v>62</v>
      </c>
      <c r="D15" t="s">
        <v>207</v>
      </c>
      <c r="E15" s="2">
        <v>45660</v>
      </c>
      <c r="F15" s="2" cm="1">
        <f t="array" ref="F15">_xlfn.IFS(B15="Owner Surrender",E15,B15="Stray",E15+6,B15="Stray w/identification",E15+11,B15="Bite",E15+10,B15="Other",E15+30,B15="BAS",E15+56,B15="Seized",E15)</f>
        <v>45660</v>
      </c>
      <c r="G15" s="2">
        <v>45664</v>
      </c>
      <c r="H15" s="5">
        <f t="shared" si="0"/>
        <v>4</v>
      </c>
      <c r="I15" s="5">
        <f t="shared" si="1"/>
        <v>4</v>
      </c>
      <c r="J15" s="2" t="s">
        <v>31</v>
      </c>
      <c r="K15" s="2" t="s">
        <v>587</v>
      </c>
      <c r="L15" t="s">
        <v>276</v>
      </c>
      <c r="P15" s="9" t="s">
        <v>36</v>
      </c>
      <c r="Q15" s="9">
        <f>COUNTIFS(J:J,"Transferred",B:B,"Owner Surrender")</f>
        <v>63</v>
      </c>
      <c r="T15" s="9" t="s">
        <v>208</v>
      </c>
      <c r="U15" s="9">
        <f>COUNTIFS(J:J,"Euthanized",D:D,"0-6 months")</f>
        <v>208</v>
      </c>
      <c r="AD15" s="33" t="str">
        <f t="shared" si="2"/>
        <v>Tuesday</v>
      </c>
    </row>
    <row r="16" spans="1:30" x14ac:dyDescent="0.2">
      <c r="A16" s="23">
        <v>39426</v>
      </c>
      <c r="B16" s="2" t="s">
        <v>36</v>
      </c>
      <c r="C16" t="s">
        <v>75</v>
      </c>
      <c r="D16" t="s">
        <v>207</v>
      </c>
      <c r="E16" s="2">
        <v>45660</v>
      </c>
      <c r="F16" s="2" cm="1">
        <f t="array" ref="F16">_xlfn.IFS(B16="Owner Surrender",E16,B16="Stray",E16+6,B16="Stray w/identification",E16+11,B16="Bite",E16+10,B16="Other",E16+30,B16="BAS",E16+56,B16="Seized",E16)</f>
        <v>45660</v>
      </c>
      <c r="G16" s="2">
        <v>45664</v>
      </c>
      <c r="H16" s="5">
        <f t="shared" si="0"/>
        <v>4</v>
      </c>
      <c r="I16" s="5">
        <f t="shared" si="1"/>
        <v>4</v>
      </c>
      <c r="J16" s="2" t="s">
        <v>31</v>
      </c>
      <c r="K16" s="2" t="s">
        <v>587</v>
      </c>
      <c r="L16" t="s">
        <v>275</v>
      </c>
      <c r="M16" s="2"/>
      <c r="P16" s="9" t="s">
        <v>38</v>
      </c>
      <c r="Q16" s="9">
        <f>COUNTIFS(J:J,"Transferred",B:B,"Stray")</f>
        <v>28</v>
      </c>
      <c r="T16" s="9" t="s">
        <v>209</v>
      </c>
      <c r="U16" s="9">
        <f>COUNTIFS(J:J,"Euthanized",D:D,"6-12 months")</f>
        <v>43</v>
      </c>
      <c r="AD16" s="33" t="str">
        <f t="shared" si="2"/>
        <v>Tuesday</v>
      </c>
    </row>
    <row r="17" spans="1:30" x14ac:dyDescent="0.2">
      <c r="A17" s="23">
        <v>39427</v>
      </c>
      <c r="B17" s="2" t="s">
        <v>36</v>
      </c>
      <c r="C17" t="s">
        <v>75</v>
      </c>
      <c r="D17" t="s">
        <v>207</v>
      </c>
      <c r="E17" s="2">
        <v>45660</v>
      </c>
      <c r="F17" s="2" cm="1">
        <f t="array" ref="F17">_xlfn.IFS(B17="Owner Surrender",E17,B17="Stray",E17+6,B17="Stray w/identification",E17+11,B17="Bite",E17+10,B17="Other",E17+30,B17="BAS",E17+56,B17="Seized",E17)</f>
        <v>45660</v>
      </c>
      <c r="G17" s="2">
        <v>45664</v>
      </c>
      <c r="H17" s="5">
        <f t="shared" si="0"/>
        <v>4</v>
      </c>
      <c r="I17" s="5">
        <f t="shared" si="1"/>
        <v>4</v>
      </c>
      <c r="J17" s="2" t="s">
        <v>31</v>
      </c>
      <c r="K17" s="2" t="s">
        <v>588</v>
      </c>
      <c r="M17" t="s">
        <v>274</v>
      </c>
      <c r="P17" s="9" t="s">
        <v>52</v>
      </c>
      <c r="Q17" s="9">
        <f>COUNTIFS(J:J,"Transferred",B:B,"Seized")</f>
        <v>3</v>
      </c>
      <c r="T17" s="9" t="s">
        <v>207</v>
      </c>
      <c r="U17" s="9">
        <f>COUNTIFS(J:J,"Euthanized",D:D,"Adult")</f>
        <v>304</v>
      </c>
      <c r="AD17" s="33" t="str">
        <f t="shared" si="2"/>
        <v>Tuesday</v>
      </c>
    </row>
    <row r="18" spans="1:30" x14ac:dyDescent="0.2">
      <c r="A18" s="23">
        <v>39428</v>
      </c>
      <c r="B18" s="2" t="s">
        <v>38</v>
      </c>
      <c r="C18" t="s">
        <v>71</v>
      </c>
      <c r="D18" t="s">
        <v>207</v>
      </c>
      <c r="E18" s="2">
        <v>45660</v>
      </c>
      <c r="F18" s="2" cm="1">
        <f t="array" ref="F18">_xlfn.IFS(B18="Owner Surrender",E18,B18="Stray",E18+6,B18="Stray w/identification",E18+11,B18="Bite",E18+10,B18="Other",E18+30,B18="BAS",E18+56,B18="Seized",E18)</f>
        <v>45666</v>
      </c>
      <c r="G18" s="2">
        <v>45674</v>
      </c>
      <c r="H18" s="5">
        <f t="shared" si="0"/>
        <v>14</v>
      </c>
      <c r="I18" s="5">
        <f t="shared" si="1"/>
        <v>8</v>
      </c>
      <c r="J18" s="2" t="s">
        <v>11</v>
      </c>
      <c r="K18" s="2" t="s">
        <v>586</v>
      </c>
      <c r="L18" s="2"/>
      <c r="M18" s="2"/>
      <c r="P18" s="9" t="s">
        <v>204</v>
      </c>
      <c r="Q18" s="9">
        <f>COUNTIFS(J:J,"Transferred",B:B,"BAS")</f>
        <v>4</v>
      </c>
      <c r="T18" s="9" t="s">
        <v>210</v>
      </c>
      <c r="U18" s="9">
        <f>COUNTIFS(J:J,"Euthanized",D:D,"Senior")</f>
        <v>22</v>
      </c>
      <c r="AD18" s="33" t="str">
        <f t="shared" si="2"/>
        <v>Friday</v>
      </c>
    </row>
    <row r="19" spans="1:30" ht="19" x14ac:dyDescent="0.25">
      <c r="A19" s="23">
        <v>39430</v>
      </c>
      <c r="B19" s="2" t="s">
        <v>179</v>
      </c>
      <c r="C19" t="s">
        <v>51</v>
      </c>
      <c r="D19" t="s">
        <v>207</v>
      </c>
      <c r="E19" s="2">
        <v>45660</v>
      </c>
      <c r="F19" s="2" cm="1">
        <f t="array" ref="F19">_xlfn.IFS(B19="Owner Surrender",E19,B19="Stray",E19+6,B19="Stray w/identification",E19+11,B19="Bite",E19+10,B19="Other",E19+30,B19="BAS",E19+56,B19="Seized",E19)</f>
        <v>45671</v>
      </c>
      <c r="G19" s="2">
        <v>45660</v>
      </c>
      <c r="H19" s="5">
        <f t="shared" si="0"/>
        <v>0</v>
      </c>
      <c r="I19" s="5">
        <f t="shared" si="1"/>
        <v>-11</v>
      </c>
      <c r="J19" s="2" t="s">
        <v>8</v>
      </c>
      <c r="K19" s="2" t="s">
        <v>586</v>
      </c>
      <c r="P19" s="9" t="s">
        <v>41</v>
      </c>
      <c r="Q19" s="9">
        <f>COUNTIFS(J:J,"Transferred",B:B,"Bite")</f>
        <v>0</v>
      </c>
      <c r="S19" s="10" t="s">
        <v>205</v>
      </c>
      <c r="T19" s="10"/>
      <c r="U19" s="10"/>
      <c r="AD19" s="33" t="str">
        <f t="shared" si="2"/>
        <v>Friday</v>
      </c>
    </row>
    <row r="20" spans="1:30" ht="19" x14ac:dyDescent="0.25">
      <c r="A20" s="23">
        <v>39431</v>
      </c>
      <c r="B20" s="2" t="s">
        <v>38</v>
      </c>
      <c r="C20" t="s">
        <v>55</v>
      </c>
      <c r="D20" t="s">
        <v>207</v>
      </c>
      <c r="E20" s="2">
        <v>45660</v>
      </c>
      <c r="F20" s="2" cm="1">
        <f t="array" ref="F20">_xlfn.IFS(B20="Owner Surrender",E20,B20="Stray",E20+6,B20="Stray w/identification",E20+11,B20="Bite",E20+10,B20="Other",E20+30,B20="BAS",E20+56,B20="Seized",E20)</f>
        <v>45666</v>
      </c>
      <c r="G20" s="2">
        <v>45677</v>
      </c>
      <c r="H20" s="5">
        <f t="shared" si="0"/>
        <v>17</v>
      </c>
      <c r="I20" s="5">
        <f t="shared" si="1"/>
        <v>11</v>
      </c>
      <c r="J20" s="2" t="s">
        <v>31</v>
      </c>
      <c r="K20" s="2" t="s">
        <v>587</v>
      </c>
      <c r="M20" s="2" t="s">
        <v>597</v>
      </c>
      <c r="O20" s="10" t="s">
        <v>28</v>
      </c>
      <c r="P20" s="10"/>
      <c r="Q20" s="10">
        <f>SUM(Q21:Q27)</f>
        <v>9</v>
      </c>
      <c r="T20" s="9" t="s">
        <v>208</v>
      </c>
      <c r="U20" s="9">
        <f>COUNTIFS(J:J,"RTO",D:D,"0-6 months")</f>
        <v>4</v>
      </c>
      <c r="AD20" s="33" t="str">
        <f t="shared" si="2"/>
        <v>Monday</v>
      </c>
    </row>
    <row r="21" spans="1:30" x14ac:dyDescent="0.2">
      <c r="A21" s="23">
        <v>39432</v>
      </c>
      <c r="B21" s="2" t="s">
        <v>36</v>
      </c>
      <c r="C21" t="s">
        <v>246</v>
      </c>
      <c r="D21" t="s">
        <v>207</v>
      </c>
      <c r="E21" s="2">
        <v>45660</v>
      </c>
      <c r="F21" s="2" cm="1">
        <f t="array" ref="F21">_xlfn.IFS(B21="Owner Surrender",E21,B21="Stray",E21+6,B21="Stray w/identification",E21+11,B21="Bite",E21+10,B21="Other",E21+30,B21="BAS",E21+56,B21="Seized",E21)</f>
        <v>45660</v>
      </c>
      <c r="G21" s="2">
        <v>45672</v>
      </c>
      <c r="H21" s="5">
        <f t="shared" si="0"/>
        <v>12</v>
      </c>
      <c r="I21" s="5">
        <f t="shared" si="1"/>
        <v>12</v>
      </c>
      <c r="J21" s="2" t="s">
        <v>31</v>
      </c>
      <c r="K21" s="2" t="s">
        <v>587</v>
      </c>
      <c r="P21" s="9" t="s">
        <v>36</v>
      </c>
      <c r="Q21" s="9">
        <f>COUNTIFS(J:J,"DOA",B:B,"Owner Surrender")</f>
        <v>4</v>
      </c>
      <c r="T21" s="9" t="s">
        <v>209</v>
      </c>
      <c r="U21" s="9">
        <f>COUNTIFS(J:J,"RTO",D:D,"6-12 months")</f>
        <v>4</v>
      </c>
      <c r="AD21" s="33" t="str">
        <f t="shared" si="2"/>
        <v>Wednesday</v>
      </c>
    </row>
    <row r="22" spans="1:30" x14ac:dyDescent="0.2">
      <c r="A22" s="23">
        <v>39434</v>
      </c>
      <c r="B22" s="2" t="s">
        <v>179</v>
      </c>
      <c r="C22" t="s">
        <v>70</v>
      </c>
      <c r="D22" t="s">
        <v>207</v>
      </c>
      <c r="E22" s="2">
        <v>45661</v>
      </c>
      <c r="F22" s="2" cm="1">
        <f t="array" ref="F22">_xlfn.IFS(B22="Owner Surrender",E22,B22="Stray",E22+6,B22="Stray w/identification",E22+11,B22="Bite",E22+10,B22="Other",E22+30,B22="BAS",E22+56,B22="Seized",E22)</f>
        <v>45672</v>
      </c>
      <c r="G22" s="2">
        <v>45661</v>
      </c>
      <c r="H22" s="5">
        <f t="shared" si="0"/>
        <v>0</v>
      </c>
      <c r="I22" s="5">
        <f t="shared" si="1"/>
        <v>-11</v>
      </c>
      <c r="J22" s="2" t="s">
        <v>8</v>
      </c>
      <c r="K22" s="2" t="s">
        <v>586</v>
      </c>
      <c r="L22" t="s">
        <v>418</v>
      </c>
      <c r="P22" s="9" t="s">
        <v>38</v>
      </c>
      <c r="Q22" s="9">
        <f>COUNTIFS(J:J,"DOA",B:B,"Stray")</f>
        <v>1</v>
      </c>
      <c r="T22" s="9" t="s">
        <v>207</v>
      </c>
      <c r="U22" s="9">
        <f>COUNTIFS(J:J,"RTO",D:D,"Adult")</f>
        <v>138</v>
      </c>
      <c r="AD22" s="33" t="str">
        <f t="shared" si="2"/>
        <v>Saturday</v>
      </c>
    </row>
    <row r="23" spans="1:30" x14ac:dyDescent="0.2">
      <c r="A23" s="23">
        <v>39435</v>
      </c>
      <c r="B23" s="2" t="s">
        <v>36</v>
      </c>
      <c r="C23" t="s">
        <v>75</v>
      </c>
      <c r="D23" t="s">
        <v>208</v>
      </c>
      <c r="E23" s="2">
        <v>45661</v>
      </c>
      <c r="F23" s="2" cm="1">
        <f t="array" ref="F23">_xlfn.IFS(B23="Owner Surrender",E23,B23="Stray",E23+6,B23="Stray w/identification",E23+11,B23="Bite",E23+10,B23="Other",E23+30,B23="BAS",E23+56,B23="Seized",E23)</f>
        <v>45661</v>
      </c>
      <c r="G23" s="2">
        <v>45677</v>
      </c>
      <c r="H23" s="5">
        <f t="shared" si="0"/>
        <v>16</v>
      </c>
      <c r="I23" s="5">
        <f t="shared" si="1"/>
        <v>16</v>
      </c>
      <c r="J23" s="2" t="s">
        <v>31</v>
      </c>
      <c r="K23" s="2" t="s">
        <v>588</v>
      </c>
      <c r="L23" t="s">
        <v>250</v>
      </c>
      <c r="M23" t="s">
        <v>279</v>
      </c>
      <c r="P23" s="9" t="s">
        <v>203</v>
      </c>
      <c r="Q23" s="9">
        <f>COUNTIFS(J:J,"DOA",B:B,"Stray w/identification")</f>
        <v>1</v>
      </c>
      <c r="T23" s="9" t="s">
        <v>210</v>
      </c>
      <c r="U23" s="9">
        <f>COUNTIFS(J:J,"RTO",D:D,"Senior")</f>
        <v>6</v>
      </c>
      <c r="AD23" s="33" t="str">
        <f t="shared" si="2"/>
        <v>Monday</v>
      </c>
    </row>
    <row r="24" spans="1:30" ht="19" x14ac:dyDescent="0.25">
      <c r="A24" s="23">
        <v>39438</v>
      </c>
      <c r="B24" s="2" t="s">
        <v>38</v>
      </c>
      <c r="C24" t="s">
        <v>89</v>
      </c>
      <c r="D24" t="s">
        <v>207</v>
      </c>
      <c r="E24" s="2">
        <v>45662</v>
      </c>
      <c r="F24" s="2" cm="1">
        <f t="array" ref="F24">_xlfn.IFS(B24="Owner Surrender",E24,B24="Stray",E24+6,B24="Stray w/identification",E24+11,B24="Bite",E24+10,B24="Other",E24+30,B24="BAS",E24+56,B24="Seized",E24)</f>
        <v>45668</v>
      </c>
      <c r="G24" s="2">
        <v>45685</v>
      </c>
      <c r="H24" s="5">
        <f t="shared" si="0"/>
        <v>23</v>
      </c>
      <c r="I24" s="5">
        <f t="shared" si="1"/>
        <v>17</v>
      </c>
      <c r="J24" s="2" t="s">
        <v>11</v>
      </c>
      <c r="K24" s="2" t="s">
        <v>586</v>
      </c>
      <c r="P24" s="9" t="s">
        <v>52</v>
      </c>
      <c r="Q24" s="9">
        <f>COUNTIFS(J:J,"DOA",B:B,"Seized")</f>
        <v>0</v>
      </c>
      <c r="S24" s="10" t="s">
        <v>206</v>
      </c>
      <c r="T24" s="10"/>
      <c r="U24" s="10"/>
      <c r="AD24" s="33" t="str">
        <f t="shared" si="2"/>
        <v>Tuesday</v>
      </c>
    </row>
    <row r="25" spans="1:30" x14ac:dyDescent="0.2">
      <c r="A25" s="23">
        <v>39443</v>
      </c>
      <c r="B25" s="2" t="s">
        <v>36</v>
      </c>
      <c r="C25" t="s">
        <v>419</v>
      </c>
      <c r="D25" t="s">
        <v>207</v>
      </c>
      <c r="E25" s="2">
        <v>45661</v>
      </c>
      <c r="F25" s="2" cm="1">
        <f t="array" ref="F25">_xlfn.IFS(B25="Owner Surrender",E25,B25="Stray",E25+6,B25="Stray w/identification",E25+11,B25="Bite",E25+10,B25="Other",E25+30,B25="BAS",E25+56,B25="Seized",E25)</f>
        <v>45661</v>
      </c>
      <c r="G25" s="2">
        <v>45664</v>
      </c>
      <c r="H25" s="5">
        <f t="shared" si="0"/>
        <v>3</v>
      </c>
      <c r="I25" s="5">
        <f t="shared" si="1"/>
        <v>3</v>
      </c>
      <c r="J25" s="2" t="s">
        <v>18</v>
      </c>
      <c r="K25" s="2" t="s">
        <v>586</v>
      </c>
      <c r="M25" t="s">
        <v>227</v>
      </c>
      <c r="P25" s="9" t="s">
        <v>60</v>
      </c>
      <c r="Q25" s="9">
        <f>COUNTIFS(J:J,"DOA",B:B,"Other")</f>
        <v>0</v>
      </c>
      <c r="T25" s="9" t="s">
        <v>208</v>
      </c>
      <c r="U25" s="9">
        <f>COUNTIFS(J:J,"Shelter",D:D,"0-6 months")</f>
        <v>7</v>
      </c>
      <c r="AD25" s="33" t="str">
        <f t="shared" si="2"/>
        <v>Tuesday</v>
      </c>
    </row>
    <row r="26" spans="1:30" x14ac:dyDescent="0.2">
      <c r="A26" s="23">
        <v>39444</v>
      </c>
      <c r="B26" s="2" t="s">
        <v>38</v>
      </c>
      <c r="C26" t="s">
        <v>420</v>
      </c>
      <c r="D26" t="s">
        <v>207</v>
      </c>
      <c r="E26" s="2">
        <v>45664</v>
      </c>
      <c r="F26" s="2" cm="1">
        <f t="array" ref="F26">_xlfn.IFS(B26="Owner Surrender",E26,B26="Stray",E26+6,B26="Stray w/identification",E26+11,B26="Bite",E26+10,B26="Other",E26+30,B26="BAS",E26+56,B26="Seized",E26)</f>
        <v>45670</v>
      </c>
      <c r="G26" s="2">
        <v>45665</v>
      </c>
      <c r="H26" s="5">
        <f t="shared" si="0"/>
        <v>1</v>
      </c>
      <c r="I26" s="5">
        <f t="shared" si="1"/>
        <v>-5</v>
      </c>
      <c r="J26" s="2" t="s">
        <v>18</v>
      </c>
      <c r="K26" s="2" t="s">
        <v>586</v>
      </c>
      <c r="P26" s="9" t="s">
        <v>204</v>
      </c>
      <c r="Q26" s="9">
        <f>COUNTIFS(J:J,"DOA",B:B,"BAS")</f>
        <v>3</v>
      </c>
      <c r="T26" s="9" t="s">
        <v>209</v>
      </c>
      <c r="U26" s="9">
        <f>COUNTIFS(J:J,"Shelter",D:D,"6-12 months")</f>
        <v>0</v>
      </c>
      <c r="AD26" s="33" t="str">
        <f t="shared" si="2"/>
        <v>Wednesday</v>
      </c>
    </row>
    <row r="27" spans="1:30" x14ac:dyDescent="0.2">
      <c r="A27" s="23">
        <v>39447</v>
      </c>
      <c r="B27" s="2" t="s">
        <v>36</v>
      </c>
      <c r="C27" t="s">
        <v>72</v>
      </c>
      <c r="D27" t="s">
        <v>207</v>
      </c>
      <c r="E27" s="2">
        <v>45665</v>
      </c>
      <c r="F27" s="2" cm="1">
        <f t="array" ref="F27">_xlfn.IFS(B27="Owner Surrender",E27,B27="Stray",E27+6,B27="Stray w/identification",E27+11,B27="Bite",E27+10,B27="Other",E27+30,B27="BAS",E27+56,B27="Seized",E27)</f>
        <v>45665</v>
      </c>
      <c r="G27" s="2">
        <v>45677</v>
      </c>
      <c r="H27" s="5">
        <f t="shared" si="0"/>
        <v>12</v>
      </c>
      <c r="I27" s="5">
        <f t="shared" si="1"/>
        <v>12</v>
      </c>
      <c r="J27" s="2" t="s">
        <v>31</v>
      </c>
      <c r="K27" s="2" t="s">
        <v>594</v>
      </c>
      <c r="M27" t="s">
        <v>273</v>
      </c>
      <c r="P27" s="9" t="s">
        <v>41</v>
      </c>
      <c r="Q27" s="9">
        <f>COUNTIFS(J:J,"DOA",B:B,"Bite")</f>
        <v>0</v>
      </c>
      <c r="T27" s="9" t="s">
        <v>207</v>
      </c>
      <c r="U27" s="9">
        <f>COUNTIFS(J:J,"Shelter",D:D,"Adult")</f>
        <v>7</v>
      </c>
      <c r="AD27" s="33" t="str">
        <f t="shared" si="2"/>
        <v>Monday</v>
      </c>
    </row>
    <row r="28" spans="1:30" ht="19" x14ac:dyDescent="0.25">
      <c r="A28" s="23">
        <v>39448</v>
      </c>
      <c r="B28" s="2" t="s">
        <v>38</v>
      </c>
      <c r="C28" t="s">
        <v>246</v>
      </c>
      <c r="D28" t="s">
        <v>208</v>
      </c>
      <c r="E28" s="2">
        <v>45665</v>
      </c>
      <c r="F28" s="2" cm="1">
        <f t="array" ref="F28">_xlfn.IFS(B28="Owner Surrender",E28,B28="Stray",E28+6,B28="Stray w/identification",E28+11,B28="Bite",E28+10,B28="Other",E28+30,B28="BAS",E28+56,B28="Seized",E28)</f>
        <v>45671</v>
      </c>
      <c r="G28" s="2">
        <v>45665</v>
      </c>
      <c r="H28" s="5">
        <f t="shared" si="0"/>
        <v>0</v>
      </c>
      <c r="I28" s="5">
        <f t="shared" si="1"/>
        <v>-6</v>
      </c>
      <c r="J28" s="2" t="s">
        <v>28</v>
      </c>
      <c r="K28" s="2" t="s">
        <v>586</v>
      </c>
      <c r="O28" s="10" t="s">
        <v>205</v>
      </c>
      <c r="P28" s="10"/>
      <c r="Q28" s="10">
        <f>SUM(Q29:Q35)</f>
        <v>152</v>
      </c>
      <c r="T28" s="9" t="s">
        <v>210</v>
      </c>
      <c r="U28" s="9">
        <f>COUNTIFS(J:J,"Shelter",D:D,"Senior")</f>
        <v>1</v>
      </c>
      <c r="AD28" s="33" t="str">
        <f t="shared" si="2"/>
        <v>Wednesday</v>
      </c>
    </row>
    <row r="29" spans="1:30" x14ac:dyDescent="0.2">
      <c r="A29" s="23">
        <v>39449</v>
      </c>
      <c r="B29" s="2" t="s">
        <v>38</v>
      </c>
      <c r="C29" t="s">
        <v>246</v>
      </c>
      <c r="D29" t="s">
        <v>208</v>
      </c>
      <c r="E29" s="2">
        <v>45665</v>
      </c>
      <c r="F29" s="2" cm="1">
        <f t="array" ref="F29">_xlfn.IFS(B29="Owner Surrender",E29,B29="Stray",E29+6,B29="Stray w/identification",E29+11,B29="Bite",E29+10,B29="Other",E29+30,B29="BAS",E29+56,B29="Seized",E29)</f>
        <v>45671</v>
      </c>
      <c r="G29" s="2">
        <v>45672</v>
      </c>
      <c r="H29" s="5">
        <f t="shared" si="0"/>
        <v>7</v>
      </c>
      <c r="I29" s="5">
        <f t="shared" si="1"/>
        <v>1</v>
      </c>
      <c r="J29" s="2" t="s">
        <v>31</v>
      </c>
      <c r="K29" s="2" t="s">
        <v>587</v>
      </c>
      <c r="P29" s="9" t="s">
        <v>36</v>
      </c>
      <c r="Q29" s="9">
        <f>COUNTIFS(J:J,"RTO",B:B,"Owner Surrender")</f>
        <v>2</v>
      </c>
      <c r="AD29" s="33" t="str">
        <f t="shared" si="2"/>
        <v>Wednesday</v>
      </c>
    </row>
    <row r="30" spans="1:30" ht="19" x14ac:dyDescent="0.25">
      <c r="A30" s="23">
        <v>39450</v>
      </c>
      <c r="B30" s="2" t="s">
        <v>38</v>
      </c>
      <c r="C30" t="s">
        <v>246</v>
      </c>
      <c r="D30" t="s">
        <v>208</v>
      </c>
      <c r="E30" s="2">
        <v>45665</v>
      </c>
      <c r="F30" s="2" cm="1">
        <f t="array" ref="F30">_xlfn.IFS(B30="Owner Surrender",E30,B30="Stray",E30+6,B30="Stray w/identification",E30+11,B30="Bite",E30+10,B30="Other",E30+30,B30="BAS",E30+56,B30="Seized",E30)</f>
        <v>45671</v>
      </c>
      <c r="G30" s="2">
        <v>45672</v>
      </c>
      <c r="H30" s="5">
        <f t="shared" si="0"/>
        <v>7</v>
      </c>
      <c r="I30" s="5">
        <f t="shared" si="1"/>
        <v>1</v>
      </c>
      <c r="J30" s="2" t="s">
        <v>31</v>
      </c>
      <c r="K30" s="2" t="s">
        <v>587</v>
      </c>
      <c r="L30" s="2"/>
      <c r="O30" s="11"/>
      <c r="P30" s="9" t="s">
        <v>38</v>
      </c>
      <c r="Q30" s="9">
        <f>COUNTIFS(J:J,"RTO",B:B,"Stray")</f>
        <v>52</v>
      </c>
      <c r="AD30" s="33" t="str">
        <f t="shared" si="2"/>
        <v>Wednesday</v>
      </c>
    </row>
    <row r="31" spans="1:30" x14ac:dyDescent="0.2">
      <c r="A31" s="23">
        <v>39453</v>
      </c>
      <c r="B31" s="2" t="s">
        <v>52</v>
      </c>
      <c r="C31" t="s">
        <v>49</v>
      </c>
      <c r="D31" t="s">
        <v>207</v>
      </c>
      <c r="E31" s="2">
        <v>45666</v>
      </c>
      <c r="F31" s="2" cm="1">
        <f t="array" ref="F31">_xlfn.IFS(B31="Owner Surrender",E31,B31="Stray",E31+6,B31="Stray w/identification",E31+11,B31="Bite",E31+10,B31="Other",E31+30,B31="BAS",E31+56,B31="Seized",E31)</f>
        <v>45666</v>
      </c>
      <c r="G31" s="2">
        <v>45680</v>
      </c>
      <c r="H31" s="5">
        <f t="shared" si="0"/>
        <v>14</v>
      </c>
      <c r="I31" s="5">
        <f t="shared" si="1"/>
        <v>14</v>
      </c>
      <c r="J31" s="2" t="s">
        <v>31</v>
      </c>
      <c r="K31" s="2" t="s">
        <v>594</v>
      </c>
      <c r="M31" t="s">
        <v>272</v>
      </c>
      <c r="P31" s="9" t="s">
        <v>203</v>
      </c>
      <c r="Q31" s="9">
        <f>COUNTIFS(J:J,"RTO",B:B,"Stray w/identification")</f>
        <v>72</v>
      </c>
      <c r="AD31" s="33" t="str">
        <f t="shared" si="2"/>
        <v>Thursday</v>
      </c>
    </row>
    <row r="32" spans="1:30" x14ac:dyDescent="0.2">
      <c r="A32" s="23">
        <v>39454</v>
      </c>
      <c r="B32" s="2" t="s">
        <v>179</v>
      </c>
      <c r="C32" t="s">
        <v>56</v>
      </c>
      <c r="D32" t="s">
        <v>207</v>
      </c>
      <c r="E32" s="2">
        <v>45666</v>
      </c>
      <c r="F32" s="2" cm="1">
        <f t="array" ref="F32">_xlfn.IFS(B32="Owner Surrender",E32,B32="Stray",E32+6,B32="Stray w/identification",E32+11,B32="Bite",E32+10,B32="Other",E32+30,B32="BAS",E32+56,B32="Seized",E32)</f>
        <v>45677</v>
      </c>
      <c r="G32" s="2">
        <v>45680</v>
      </c>
      <c r="H32" s="5">
        <f t="shared" si="0"/>
        <v>14</v>
      </c>
      <c r="I32" s="5">
        <f t="shared" si="1"/>
        <v>3</v>
      </c>
      <c r="J32" s="2" t="s">
        <v>31</v>
      </c>
      <c r="K32" s="2" t="s">
        <v>587</v>
      </c>
      <c r="M32" t="s">
        <v>271</v>
      </c>
      <c r="P32" s="9" t="s">
        <v>52</v>
      </c>
      <c r="Q32" s="9">
        <f>COUNTIFS(J:J,"RTO",B:B,"Seized")</f>
        <v>1</v>
      </c>
      <c r="AD32" s="33" t="str">
        <f t="shared" si="2"/>
        <v>Thursday</v>
      </c>
    </row>
    <row r="33" spans="1:30" x14ac:dyDescent="0.2">
      <c r="A33" s="23">
        <v>39455</v>
      </c>
      <c r="B33" s="2" t="s">
        <v>179</v>
      </c>
      <c r="C33" t="s">
        <v>49</v>
      </c>
      <c r="D33" t="s">
        <v>207</v>
      </c>
      <c r="E33" s="2">
        <v>45667</v>
      </c>
      <c r="F33" s="2" cm="1">
        <f t="array" ref="F33">_xlfn.IFS(B33="Owner Surrender",E33,B33="Stray",E33+6,B33="Stray w/identification",E33+11,B33="Bite",E33+10,B33="Other",E33+30,B33="BAS",E33+56,B33="Seized",E33)</f>
        <v>45678</v>
      </c>
      <c r="G33" s="2">
        <v>45672</v>
      </c>
      <c r="H33" s="5">
        <f t="shared" si="0"/>
        <v>5</v>
      </c>
      <c r="I33" s="5">
        <f t="shared" si="1"/>
        <v>-6</v>
      </c>
      <c r="J33" s="2" t="s">
        <v>28</v>
      </c>
      <c r="K33" s="2" t="s">
        <v>586</v>
      </c>
      <c r="M33" t="s">
        <v>270</v>
      </c>
      <c r="P33" s="9" t="s">
        <v>60</v>
      </c>
      <c r="Q33" s="9">
        <f>COUNTIFS(J:J,"RTO",B:B,"Other")</f>
        <v>21</v>
      </c>
      <c r="AD33" s="33" t="str">
        <f t="shared" si="2"/>
        <v>Wednesday</v>
      </c>
    </row>
    <row r="34" spans="1:30" x14ac:dyDescent="0.2">
      <c r="A34" s="23">
        <v>39456</v>
      </c>
      <c r="B34" s="2" t="s">
        <v>38</v>
      </c>
      <c r="C34" t="s">
        <v>55</v>
      </c>
      <c r="D34" t="s">
        <v>207</v>
      </c>
      <c r="E34" s="2">
        <v>45667</v>
      </c>
      <c r="F34" s="2" cm="1">
        <f t="array" ref="F34">_xlfn.IFS(B34="Owner Surrender",E34,B34="Stray",E34+6,B34="Stray w/identification",E34+11,B34="Bite",E34+10,B34="Other",E34+30,B34="BAS",E34+56,B34="Seized",E34)</f>
        <v>45673</v>
      </c>
      <c r="G34" s="2">
        <v>45681</v>
      </c>
      <c r="H34" s="5">
        <f t="shared" si="0"/>
        <v>14</v>
      </c>
      <c r="I34" s="5">
        <f t="shared" si="1"/>
        <v>8</v>
      </c>
      <c r="J34" s="2" t="s">
        <v>31</v>
      </c>
      <c r="K34" s="2" t="s">
        <v>587</v>
      </c>
      <c r="L34" s="2" t="s">
        <v>269</v>
      </c>
      <c r="P34" s="9" t="s">
        <v>204</v>
      </c>
      <c r="Q34" s="9">
        <f>COUNTIFS(J:J,"RTO",B:B,"BAS")</f>
        <v>0</v>
      </c>
      <c r="AD34" s="33" t="str">
        <f t="shared" si="2"/>
        <v>Friday</v>
      </c>
    </row>
    <row r="35" spans="1:30" x14ac:dyDescent="0.2">
      <c r="A35" s="23">
        <v>39457</v>
      </c>
      <c r="B35" s="2" t="s">
        <v>179</v>
      </c>
      <c r="C35" t="s">
        <v>49</v>
      </c>
      <c r="D35" t="s">
        <v>207</v>
      </c>
      <c r="E35" s="2">
        <v>45667</v>
      </c>
      <c r="F35" s="2" cm="1">
        <f t="array" ref="F35">_xlfn.IFS(B35="Owner Surrender",E35,B35="Stray",E35+6,B35="Stray w/identification",E35+11,B35="Bite",E35+10,B35="Other",E35+30,B35="BAS",E35+56,B35="Seized",E35)</f>
        <v>45678</v>
      </c>
      <c r="G35" s="2">
        <v>45667</v>
      </c>
      <c r="H35" s="5">
        <f t="shared" si="0"/>
        <v>0</v>
      </c>
      <c r="I35" s="5">
        <f t="shared" si="1"/>
        <v>-11</v>
      </c>
      <c r="J35" s="2" t="s">
        <v>8</v>
      </c>
      <c r="K35" s="2" t="s">
        <v>586</v>
      </c>
      <c r="L35" s="2"/>
      <c r="P35" s="9" t="s">
        <v>41</v>
      </c>
      <c r="Q35" s="9">
        <f>COUNTIFS(J:J,"RTO",B:B,"Bite")</f>
        <v>4</v>
      </c>
      <c r="AD35" s="33" t="str">
        <f t="shared" si="2"/>
        <v>Friday</v>
      </c>
    </row>
    <row r="36" spans="1:30" ht="19" x14ac:dyDescent="0.25">
      <c r="A36" s="23">
        <v>39458</v>
      </c>
      <c r="B36" s="2" t="s">
        <v>36</v>
      </c>
      <c r="C36" t="s">
        <v>148</v>
      </c>
      <c r="D36" t="s">
        <v>207</v>
      </c>
      <c r="E36" s="2">
        <v>45667</v>
      </c>
      <c r="F36" s="2" cm="1">
        <f t="array" ref="F36">_xlfn.IFS(B36="Owner Surrender",E36,B36="Stray",E36+6,B36="Stray w/identification",E36+11,B36="Bite",E36+10,B36="Other",E36+30,B36="BAS",E36+56,B36="Seized",E36)</f>
        <v>45667</v>
      </c>
      <c r="G36" s="2">
        <v>45672</v>
      </c>
      <c r="H36" s="5">
        <f t="shared" si="0"/>
        <v>5</v>
      </c>
      <c r="I36" s="5">
        <f t="shared" si="1"/>
        <v>5</v>
      </c>
      <c r="J36" s="2" t="s">
        <v>31</v>
      </c>
      <c r="K36" s="2" t="s">
        <v>587</v>
      </c>
      <c r="L36" s="2" t="s">
        <v>268</v>
      </c>
      <c r="O36" s="10" t="s">
        <v>206</v>
      </c>
      <c r="P36" s="10"/>
      <c r="Q36" s="10">
        <f>SUM(Q37:Q43)</f>
        <v>15</v>
      </c>
      <c r="AD36" s="33" t="str">
        <f t="shared" si="2"/>
        <v>Wednesday</v>
      </c>
    </row>
    <row r="37" spans="1:30" x14ac:dyDescent="0.2">
      <c r="A37" s="23">
        <v>39459</v>
      </c>
      <c r="B37" s="2" t="s">
        <v>179</v>
      </c>
      <c r="C37" t="s">
        <v>70</v>
      </c>
      <c r="D37" t="s">
        <v>207</v>
      </c>
      <c r="E37" s="2">
        <v>45667</v>
      </c>
      <c r="F37" s="2" cm="1">
        <f t="array" ref="F37">_xlfn.IFS(B37="Owner Surrender",E37,B37="Stray",E37+6,B37="Stray w/identification",E37+11,B37="Bite",E37+10,B37="Other",E37+30,B37="BAS",E37+56,B37="Seized",E37)</f>
        <v>45678</v>
      </c>
      <c r="G37" s="2">
        <v>45667</v>
      </c>
      <c r="H37" s="5">
        <f t="shared" si="0"/>
        <v>0</v>
      </c>
      <c r="I37" s="5">
        <f t="shared" si="1"/>
        <v>-11</v>
      </c>
      <c r="J37" s="2" t="s">
        <v>8</v>
      </c>
      <c r="K37" s="2" t="s">
        <v>586</v>
      </c>
      <c r="L37" s="2"/>
      <c r="P37" s="9" t="s">
        <v>36</v>
      </c>
      <c r="Q37" s="9">
        <f>COUNTIFS(J:J,"Shelter",B:B,"Owner Surrender")</f>
        <v>3</v>
      </c>
      <c r="AD37" s="33" t="str">
        <f t="shared" si="2"/>
        <v>Friday</v>
      </c>
    </row>
    <row r="38" spans="1:30" x14ac:dyDescent="0.2">
      <c r="A38" s="23">
        <v>39460</v>
      </c>
      <c r="B38" s="2" t="s">
        <v>179</v>
      </c>
      <c r="C38" t="s">
        <v>69</v>
      </c>
      <c r="D38" t="s">
        <v>207</v>
      </c>
      <c r="E38" s="2">
        <v>45669</v>
      </c>
      <c r="F38" s="2" cm="1">
        <f t="array" ref="F38">_xlfn.IFS(B38="Owner Surrender",E38,B38="Stray",E38+6,B38="Stray w/identification",E38+11,B38="Bite",E38+10,B38="Other",E38+30,B38="BAS",E38+56,B38="Seized",E38)</f>
        <v>45680</v>
      </c>
      <c r="G38" s="2">
        <v>45670</v>
      </c>
      <c r="H38" s="5">
        <f t="shared" si="0"/>
        <v>1</v>
      </c>
      <c r="I38" s="5">
        <f t="shared" si="1"/>
        <v>-10</v>
      </c>
      <c r="J38" s="2" t="s">
        <v>8</v>
      </c>
      <c r="K38" s="2" t="s">
        <v>586</v>
      </c>
      <c r="L38" s="2"/>
      <c r="P38" s="9" t="s">
        <v>38</v>
      </c>
      <c r="Q38" s="9">
        <f>COUNTIFS(J:J,"Shelter",B:B,"Stray")</f>
        <v>3</v>
      </c>
      <c r="AD38" s="33" t="str">
        <f t="shared" si="2"/>
        <v>Monday</v>
      </c>
    </row>
    <row r="39" spans="1:30" x14ac:dyDescent="0.2">
      <c r="A39" s="23">
        <v>39462</v>
      </c>
      <c r="B39" s="2" t="s">
        <v>179</v>
      </c>
      <c r="C39" t="s">
        <v>62</v>
      </c>
      <c r="D39" t="s">
        <v>207</v>
      </c>
      <c r="E39" s="2">
        <v>45669</v>
      </c>
      <c r="F39" s="2" cm="1">
        <f t="array" ref="F39">_xlfn.IFS(B39="Owner Surrender",E39,B39="Stray",E39+6,B39="Stray w/identification",E39+11,B39="Bite",E39+10,B39="Other",E39+30,B39="BAS",E39+56,B39="Seized",E39)</f>
        <v>45680</v>
      </c>
      <c r="G39" s="2">
        <v>45670</v>
      </c>
      <c r="H39" s="5">
        <f t="shared" si="0"/>
        <v>1</v>
      </c>
      <c r="I39" s="5">
        <f t="shared" si="1"/>
        <v>-10</v>
      </c>
      <c r="J39" s="2" t="s">
        <v>8</v>
      </c>
      <c r="K39" s="2" t="s">
        <v>586</v>
      </c>
      <c r="L39" s="2"/>
      <c r="P39" s="9" t="s">
        <v>203</v>
      </c>
      <c r="Q39" s="9">
        <f>COUNTIFS(J:J,"Shelter",B:B,"Stray w/identification")</f>
        <v>1</v>
      </c>
      <c r="AD39" s="33" t="str">
        <f t="shared" si="2"/>
        <v>Monday</v>
      </c>
    </row>
    <row r="40" spans="1:30" x14ac:dyDescent="0.2">
      <c r="A40" s="23">
        <v>39463</v>
      </c>
      <c r="B40" s="2" t="s">
        <v>179</v>
      </c>
      <c r="C40" t="s">
        <v>55</v>
      </c>
      <c r="D40" t="s">
        <v>209</v>
      </c>
      <c r="E40" s="2">
        <v>45668</v>
      </c>
      <c r="F40" s="2" cm="1">
        <f t="array" ref="F40">_xlfn.IFS(B40="Owner Surrender",E40,B40="Stray",E40+6,B40="Stray w/identification",E40+11,B40="Bite",E40+10,B40="Other",E40+30,B40="BAS",E40+56,B40="Seized",E40)</f>
        <v>45679</v>
      </c>
      <c r="G40" s="2">
        <v>45681</v>
      </c>
      <c r="H40" s="5">
        <f t="shared" si="0"/>
        <v>13</v>
      </c>
      <c r="I40" s="5">
        <f t="shared" si="1"/>
        <v>2</v>
      </c>
      <c r="J40" s="2" t="s">
        <v>11</v>
      </c>
      <c r="K40" s="2" t="s">
        <v>586</v>
      </c>
      <c r="L40" t="s">
        <v>243</v>
      </c>
      <c r="P40" s="9" t="s">
        <v>52</v>
      </c>
      <c r="Q40" s="9">
        <f>COUNTIFS(J:J,"Shelter",B:B,"Seized")</f>
        <v>1</v>
      </c>
      <c r="AD40" s="33" t="str">
        <f t="shared" si="2"/>
        <v>Friday</v>
      </c>
    </row>
    <row r="41" spans="1:30" x14ac:dyDescent="0.2">
      <c r="A41" s="23">
        <v>39464</v>
      </c>
      <c r="B41" s="2" t="s">
        <v>38</v>
      </c>
      <c r="C41" t="s">
        <v>262</v>
      </c>
      <c r="D41" t="s">
        <v>207</v>
      </c>
      <c r="E41" s="2">
        <v>45669</v>
      </c>
      <c r="F41" s="2" cm="1">
        <f t="array" ref="F41">_xlfn.IFS(B41="Owner Surrender",E41,B41="Stray",E41+6,B41="Stray w/identification",E41+11,B41="Bite",E41+10,B41="Other",E41+30,B41="BAS",E41+56,B41="Seized",E41)</f>
        <v>45675</v>
      </c>
      <c r="G41" s="2">
        <v>45723</v>
      </c>
      <c r="H41" s="5">
        <f t="shared" si="0"/>
        <v>54</v>
      </c>
      <c r="I41" s="5">
        <f t="shared" si="1"/>
        <v>48</v>
      </c>
      <c r="J41" s="2" t="s">
        <v>31</v>
      </c>
      <c r="K41" s="2" t="s">
        <v>587</v>
      </c>
      <c r="L41" s="2" t="s">
        <v>267</v>
      </c>
      <c r="P41" s="9" t="s">
        <v>60</v>
      </c>
      <c r="Q41" s="9">
        <f>COUNTIFS(J:J,"Shelter",B:B,"Other")</f>
        <v>2</v>
      </c>
      <c r="AD41" s="33" t="str">
        <f t="shared" si="2"/>
        <v>Friday</v>
      </c>
    </row>
    <row r="42" spans="1:30" ht="19" x14ac:dyDescent="0.25">
      <c r="A42" s="23">
        <v>39468</v>
      </c>
      <c r="B42" s="2" t="s">
        <v>179</v>
      </c>
      <c r="C42" t="s">
        <v>265</v>
      </c>
      <c r="D42" t="s">
        <v>207</v>
      </c>
      <c r="E42" s="2">
        <v>45671</v>
      </c>
      <c r="F42" s="2" cm="1">
        <f t="array" ref="F42">_xlfn.IFS(B42="Owner Surrender",E42,B42="Stray",E42+6,B42="Stray w/identification",E42+11,B42="Bite",E42+10,B42="Other",E42+30,B42="BAS",E42+56,B42="Seized",E42)</f>
        <v>45682</v>
      </c>
      <c r="G42" s="2">
        <v>45686</v>
      </c>
      <c r="H42" s="5">
        <f t="shared" si="0"/>
        <v>15</v>
      </c>
      <c r="I42" s="5">
        <f t="shared" si="1"/>
        <v>4</v>
      </c>
      <c r="J42" s="2" t="s">
        <v>31</v>
      </c>
      <c r="K42" s="2" t="s">
        <v>587</v>
      </c>
      <c r="L42" s="2" t="s">
        <v>266</v>
      </c>
      <c r="M42" s="2" t="s">
        <v>189</v>
      </c>
      <c r="O42" s="11"/>
      <c r="P42" s="9" t="s">
        <v>204</v>
      </c>
      <c r="Q42" s="9">
        <f>COUNTIFS(J:J,"Shelter",B:B,"BAS")</f>
        <v>3</v>
      </c>
      <c r="AD42" s="33" t="str">
        <f t="shared" si="2"/>
        <v>Wednesday</v>
      </c>
    </row>
    <row r="43" spans="1:30" x14ac:dyDescent="0.2">
      <c r="A43" s="23">
        <v>39473</v>
      </c>
      <c r="B43" s="2" t="s">
        <v>36</v>
      </c>
      <c r="C43" t="s">
        <v>246</v>
      </c>
      <c r="D43" t="s">
        <v>207</v>
      </c>
      <c r="E43" s="2">
        <v>45670</v>
      </c>
      <c r="F43" s="2" cm="1">
        <f t="array" ref="F43">_xlfn.IFS(B43="Owner Surrender",E43,B43="Stray",E43+6,B43="Stray w/identification",E43+11,B43="Bite",E43+10,B43="Other",E43+30,B43="BAS",E43+56,B43="Seized",E43)</f>
        <v>45670</v>
      </c>
      <c r="G43" s="2">
        <v>45677</v>
      </c>
      <c r="H43" s="5">
        <f t="shared" si="0"/>
        <v>7</v>
      </c>
      <c r="I43" s="5">
        <f t="shared" si="1"/>
        <v>7</v>
      </c>
      <c r="J43" s="2" t="s">
        <v>31</v>
      </c>
      <c r="K43" s="2" t="s">
        <v>587</v>
      </c>
      <c r="L43" s="2" t="s">
        <v>264</v>
      </c>
      <c r="M43" s="2" t="s">
        <v>598</v>
      </c>
      <c r="P43" s="9" t="s">
        <v>41</v>
      </c>
      <c r="Q43" s="9">
        <f>COUNTIFS(J:J,"Shelter",B:B,"Bite")</f>
        <v>2</v>
      </c>
      <c r="AD43" s="33" t="str">
        <f t="shared" si="2"/>
        <v>Monday</v>
      </c>
    </row>
    <row r="44" spans="1:30" x14ac:dyDescent="0.2">
      <c r="A44" s="23">
        <v>39474</v>
      </c>
      <c r="B44" s="2" t="s">
        <v>36</v>
      </c>
      <c r="C44" t="s">
        <v>262</v>
      </c>
      <c r="D44" t="s">
        <v>207</v>
      </c>
      <c r="E44" s="2">
        <v>45671</v>
      </c>
      <c r="F44" s="2" cm="1">
        <f t="array" ref="F44">_xlfn.IFS(B44="Owner Surrender",E44,B44="Stray",E44+6,B44="Stray w/identification",E44+11,B44="Bite",E44+10,B44="Other",E44+30,B44="BAS",E44+56,B44="Seized",E44)</f>
        <v>45671</v>
      </c>
      <c r="G44" s="2">
        <v>45723</v>
      </c>
      <c r="H44" s="5">
        <f t="shared" si="0"/>
        <v>52</v>
      </c>
      <c r="I44" s="5">
        <f t="shared" si="1"/>
        <v>52</v>
      </c>
      <c r="J44" s="2" t="s">
        <v>31</v>
      </c>
      <c r="K44" s="2" t="s">
        <v>587</v>
      </c>
      <c r="AD44" s="33" t="str">
        <f t="shared" si="2"/>
        <v>Friday</v>
      </c>
    </row>
    <row r="45" spans="1:30" x14ac:dyDescent="0.2">
      <c r="A45" s="23">
        <v>39475</v>
      </c>
      <c r="B45" s="2" t="s">
        <v>36</v>
      </c>
      <c r="C45" t="s">
        <v>262</v>
      </c>
      <c r="D45" t="s">
        <v>207</v>
      </c>
      <c r="E45" s="2">
        <v>45671</v>
      </c>
      <c r="F45" s="2" cm="1">
        <f t="array" ref="F45">_xlfn.IFS(B45="Owner Surrender",E45,B45="Stray",E45+6,B45="Stray w/identification",E45+11,B45="Bite",E45+10,B45="Other",E45+30,B45="BAS",E45+56,B45="Seized",E45)</f>
        <v>45671</v>
      </c>
      <c r="G45" s="2">
        <v>45716</v>
      </c>
      <c r="H45" s="5">
        <f t="shared" si="0"/>
        <v>45</v>
      </c>
      <c r="I45" s="5">
        <f t="shared" si="1"/>
        <v>45</v>
      </c>
      <c r="J45" s="2" t="s">
        <v>31</v>
      </c>
      <c r="K45" s="2" t="s">
        <v>587</v>
      </c>
      <c r="L45" s="2" t="s">
        <v>263</v>
      </c>
      <c r="AD45" s="33" t="str">
        <f t="shared" si="2"/>
        <v>Friday</v>
      </c>
    </row>
    <row r="46" spans="1:30" x14ac:dyDescent="0.2">
      <c r="A46" s="23">
        <v>39477</v>
      </c>
      <c r="B46" s="2" t="s">
        <v>179</v>
      </c>
      <c r="C46" t="s">
        <v>95</v>
      </c>
      <c r="D46" t="s">
        <v>207</v>
      </c>
      <c r="E46" s="2">
        <v>45671</v>
      </c>
      <c r="F46" s="2" cm="1">
        <f t="array" ref="F46">_xlfn.IFS(B46="Owner Surrender",E46,B46="Stray",E46+6,B46="Stray w/identification",E46+11,B46="Bite",E46+10,B46="Other",E46+30,B46="BAS",E46+56,B46="Seized",E46)</f>
        <v>45682</v>
      </c>
      <c r="G46" s="2">
        <v>45673</v>
      </c>
      <c r="H46" s="5">
        <f t="shared" si="0"/>
        <v>2</v>
      </c>
      <c r="I46" s="5">
        <f t="shared" si="1"/>
        <v>-9</v>
      </c>
      <c r="J46" s="2" t="s">
        <v>8</v>
      </c>
      <c r="K46" s="2" t="s">
        <v>586</v>
      </c>
      <c r="L46" s="2"/>
      <c r="AD46" s="33" t="str">
        <f t="shared" si="2"/>
        <v>Thursday</v>
      </c>
    </row>
    <row r="47" spans="1:30" x14ac:dyDescent="0.2">
      <c r="A47" s="23">
        <v>39478</v>
      </c>
      <c r="B47" s="2" t="s">
        <v>36</v>
      </c>
      <c r="C47" t="s">
        <v>246</v>
      </c>
      <c r="D47" t="s">
        <v>208</v>
      </c>
      <c r="E47" s="2">
        <v>45671</v>
      </c>
      <c r="F47" s="2" cm="1">
        <f t="array" ref="F47">_xlfn.IFS(B47="Owner Surrender",E47,B47="Stray",E47+6,B47="Stray w/identification",E47+11,B47="Bite",E47+10,B47="Other",E47+30,B47="BAS",E47+56,B47="Seized",E47)</f>
        <v>45671</v>
      </c>
      <c r="G47" s="2">
        <v>45677</v>
      </c>
      <c r="H47" s="5">
        <f t="shared" si="0"/>
        <v>6</v>
      </c>
      <c r="I47" s="5">
        <f t="shared" si="1"/>
        <v>6</v>
      </c>
      <c r="J47" s="2" t="s">
        <v>11</v>
      </c>
      <c r="K47" s="2" t="s">
        <v>586</v>
      </c>
      <c r="L47" t="s">
        <v>242</v>
      </c>
      <c r="AD47" s="33" t="str">
        <f t="shared" si="2"/>
        <v>Monday</v>
      </c>
    </row>
    <row r="48" spans="1:30" x14ac:dyDescent="0.2">
      <c r="A48" s="23">
        <v>39480</v>
      </c>
      <c r="B48" s="2" t="s">
        <v>179</v>
      </c>
      <c r="C48" t="s">
        <v>49</v>
      </c>
      <c r="D48" t="s">
        <v>207</v>
      </c>
      <c r="E48" s="2">
        <v>45672</v>
      </c>
      <c r="F48" s="2" cm="1">
        <f t="array" ref="F48">_xlfn.IFS(B48="Owner Surrender",E48,B48="Stray",E48+6,B48="Stray w/identification",E48+11,B48="Bite",E48+10,B48="Other",E48+30,B48="BAS",E48+56,B48="Seized",E48)</f>
        <v>45683</v>
      </c>
      <c r="G48" s="2">
        <v>45672</v>
      </c>
      <c r="H48" s="5">
        <f t="shared" si="0"/>
        <v>0</v>
      </c>
      <c r="I48" s="5">
        <f t="shared" si="1"/>
        <v>-11</v>
      </c>
      <c r="J48" s="2" t="s">
        <v>8</v>
      </c>
      <c r="K48" s="2" t="s">
        <v>586</v>
      </c>
      <c r="AD48" s="33" t="str">
        <f t="shared" si="2"/>
        <v>Wednesday</v>
      </c>
    </row>
    <row r="49" spans="1:30" x14ac:dyDescent="0.2">
      <c r="A49" s="23">
        <v>39481</v>
      </c>
      <c r="B49" s="2" t="s">
        <v>38</v>
      </c>
      <c r="C49" t="s">
        <v>95</v>
      </c>
      <c r="D49" t="s">
        <v>207</v>
      </c>
      <c r="E49" s="2">
        <v>45672</v>
      </c>
      <c r="F49" s="2" cm="1">
        <f t="array" ref="F49">_xlfn.IFS(B49="Owner Surrender",E49,B49="Stray",E49+6,B49="Stray w/identification",E49+11,B49="Bite",E49+10,B49="Other",E49+30,B49="BAS",E49+56,B49="Seized",E49)</f>
        <v>45678</v>
      </c>
      <c r="G49" s="2">
        <v>45680</v>
      </c>
      <c r="H49" s="5">
        <f t="shared" si="0"/>
        <v>8</v>
      </c>
      <c r="I49" s="5">
        <f t="shared" si="1"/>
        <v>2</v>
      </c>
      <c r="J49" s="2" t="s">
        <v>11</v>
      </c>
      <c r="K49" s="2" t="s">
        <v>586</v>
      </c>
      <c r="AD49" s="33" t="str">
        <f t="shared" si="2"/>
        <v>Thursday</v>
      </c>
    </row>
    <row r="50" spans="1:30" x14ac:dyDescent="0.2">
      <c r="A50" s="23">
        <v>39485</v>
      </c>
      <c r="B50" s="2" t="s">
        <v>36</v>
      </c>
      <c r="C50" t="s">
        <v>110</v>
      </c>
      <c r="D50" t="s">
        <v>208</v>
      </c>
      <c r="E50" s="2">
        <v>45682</v>
      </c>
      <c r="F50" s="2" cm="1">
        <f t="array" ref="F50">_xlfn.IFS(B50="Owner Surrender",E50,B50="Stray",E50+6,B50="Stray w/identification",E50+11,B50="Bite",E50+10,B50="Other",E50+30,B50="BAS",E50+56,B50="Seized",E50)</f>
        <v>45682</v>
      </c>
      <c r="G50" s="2">
        <v>45693</v>
      </c>
      <c r="H50" s="5">
        <f t="shared" si="0"/>
        <v>11</v>
      </c>
      <c r="I50" s="5">
        <f t="shared" si="1"/>
        <v>11</v>
      </c>
      <c r="J50" s="2" t="s">
        <v>18</v>
      </c>
      <c r="K50" s="2" t="s">
        <v>586</v>
      </c>
      <c r="L50" t="s">
        <v>421</v>
      </c>
      <c r="AD50" s="33" t="str">
        <f t="shared" si="2"/>
        <v>Wednesday</v>
      </c>
    </row>
    <row r="51" spans="1:30" x14ac:dyDescent="0.2">
      <c r="A51" s="23">
        <v>39486</v>
      </c>
      <c r="B51" s="2" t="s">
        <v>36</v>
      </c>
      <c r="C51" t="s">
        <v>246</v>
      </c>
      <c r="D51" t="s">
        <v>209</v>
      </c>
      <c r="E51" s="2">
        <v>45673</v>
      </c>
      <c r="F51" s="2" cm="1">
        <f t="array" ref="F51">_xlfn.IFS(B51="Owner Surrender",E51,B51="Stray",E51+6,B51="Stray w/identification",E51+11,B51="Bite",E51+10,B51="Other",E51+30,B51="BAS",E51+56,B51="Seized",E51)</f>
        <v>45673</v>
      </c>
      <c r="G51" s="2">
        <v>45677</v>
      </c>
      <c r="H51" s="5">
        <f t="shared" si="0"/>
        <v>4</v>
      </c>
      <c r="I51" s="5">
        <f t="shared" si="1"/>
        <v>4</v>
      </c>
      <c r="J51" s="2" t="s">
        <v>31</v>
      </c>
      <c r="K51" s="2" t="s">
        <v>587</v>
      </c>
      <c r="L51" s="2" t="s">
        <v>280</v>
      </c>
      <c r="AD51" s="33" t="str">
        <f t="shared" si="2"/>
        <v>Monday</v>
      </c>
    </row>
    <row r="52" spans="1:30" x14ac:dyDescent="0.2">
      <c r="A52" s="23">
        <v>39487</v>
      </c>
      <c r="B52" s="2" t="s">
        <v>36</v>
      </c>
      <c r="C52" t="s">
        <v>237</v>
      </c>
      <c r="D52" t="s">
        <v>207</v>
      </c>
      <c r="E52" s="2">
        <v>45673</v>
      </c>
      <c r="F52" s="2" cm="1">
        <f t="array" ref="F52">_xlfn.IFS(B52="Owner Surrender",E52,B52="Stray",E52+6,B52="Stray w/identification",E52+11,B52="Bite",E52+10,B52="Other",E52+30,B52="BAS",E52+56,B52="Seized",E52)</f>
        <v>45673</v>
      </c>
      <c r="G52" s="2">
        <v>45674</v>
      </c>
      <c r="H52" s="5">
        <f t="shared" si="0"/>
        <v>1</v>
      </c>
      <c r="I52" s="5">
        <f t="shared" si="1"/>
        <v>1</v>
      </c>
      <c r="J52" s="2" t="s">
        <v>28</v>
      </c>
      <c r="K52" s="2" t="s">
        <v>586</v>
      </c>
      <c r="M52" t="s">
        <v>245</v>
      </c>
      <c r="AD52" s="33" t="str">
        <f t="shared" si="2"/>
        <v>Friday</v>
      </c>
    </row>
    <row r="53" spans="1:30" x14ac:dyDescent="0.2">
      <c r="A53" s="23">
        <v>39488</v>
      </c>
      <c r="B53" s="2" t="s">
        <v>38</v>
      </c>
      <c r="C53" t="s">
        <v>49</v>
      </c>
      <c r="D53" t="s">
        <v>208</v>
      </c>
      <c r="E53" s="2">
        <v>45674</v>
      </c>
      <c r="F53" s="2" cm="1">
        <f t="array" ref="F53">_xlfn.IFS(B53="Owner Surrender",E53,B53="Stray",E53+6,B53="Stray w/identification",E53+11,B53="Bite",E53+10,B53="Other",E53+30,B53="BAS",E53+56,B53="Seized",E53)</f>
        <v>45680</v>
      </c>
      <c r="G53" s="2">
        <v>45680</v>
      </c>
      <c r="H53" s="5">
        <f t="shared" si="0"/>
        <v>6</v>
      </c>
      <c r="I53" s="5">
        <f t="shared" si="1"/>
        <v>0</v>
      </c>
      <c r="J53" s="2" t="s">
        <v>31</v>
      </c>
      <c r="K53" s="2" t="s">
        <v>587</v>
      </c>
      <c r="AD53" s="33" t="str">
        <f t="shared" si="2"/>
        <v>Thursday</v>
      </c>
    </row>
    <row r="54" spans="1:30" x14ac:dyDescent="0.2">
      <c r="A54" s="23">
        <v>39489</v>
      </c>
      <c r="B54" s="2" t="s">
        <v>38</v>
      </c>
      <c r="C54" t="s">
        <v>49</v>
      </c>
      <c r="D54" t="s">
        <v>208</v>
      </c>
      <c r="E54" s="2">
        <v>45674</v>
      </c>
      <c r="F54" s="2" cm="1">
        <f t="array" ref="F54">_xlfn.IFS(B54="Owner Surrender",E54,B54="Stray",E54+6,B54="Stray w/identification",E54+11,B54="Bite",E54+10,B54="Other",E54+30,B54="BAS",E54+56,B54="Seized",E54)</f>
        <v>45680</v>
      </c>
      <c r="G54" s="2">
        <v>45679</v>
      </c>
      <c r="H54" s="5">
        <f t="shared" si="0"/>
        <v>5</v>
      </c>
      <c r="I54" s="5">
        <f t="shared" si="1"/>
        <v>-1</v>
      </c>
      <c r="J54" s="2" t="s">
        <v>31</v>
      </c>
      <c r="K54" s="2" t="s">
        <v>587</v>
      </c>
      <c r="L54" s="2"/>
      <c r="AD54" s="33" t="str">
        <f t="shared" si="2"/>
        <v>Wednesday</v>
      </c>
    </row>
    <row r="55" spans="1:30" x14ac:dyDescent="0.2">
      <c r="A55" s="23">
        <v>39490</v>
      </c>
      <c r="B55" s="2" t="s">
        <v>38</v>
      </c>
      <c r="C55" t="s">
        <v>49</v>
      </c>
      <c r="D55" t="s">
        <v>208</v>
      </c>
      <c r="E55" s="2">
        <v>45674</v>
      </c>
      <c r="F55" s="2" cm="1">
        <f t="array" ref="F55">_xlfn.IFS(B55="Owner Surrender",E55,B55="Stray",E55+6,B55="Stray w/identification",E55+11,B55="Bite",E55+10,B55="Other",E55+30,B55="BAS",E55+56,B55="Seized",E55)</f>
        <v>45680</v>
      </c>
      <c r="G55" s="2">
        <v>45680</v>
      </c>
      <c r="H55" s="5">
        <f t="shared" si="0"/>
        <v>6</v>
      </c>
      <c r="I55" s="5">
        <f t="shared" si="1"/>
        <v>0</v>
      </c>
      <c r="J55" s="2" t="s">
        <v>31</v>
      </c>
      <c r="K55" s="2" t="s">
        <v>587</v>
      </c>
      <c r="AD55" s="33" t="str">
        <f t="shared" si="2"/>
        <v>Thursday</v>
      </c>
    </row>
    <row r="56" spans="1:30" x14ac:dyDescent="0.2">
      <c r="A56" s="23">
        <v>39491</v>
      </c>
      <c r="B56" s="2" t="s">
        <v>38</v>
      </c>
      <c r="C56" t="s">
        <v>49</v>
      </c>
      <c r="D56" t="s">
        <v>208</v>
      </c>
      <c r="E56" s="2">
        <v>45674</v>
      </c>
      <c r="F56" s="2" cm="1">
        <f t="array" ref="F56">_xlfn.IFS(B56="Owner Surrender",E56,B56="Stray",E56+6,B56="Stray w/identification",E56+11,B56="Bite",E56+10,B56="Other",E56+30,B56="BAS",E56+56,B56="Seized",E56)</f>
        <v>45680</v>
      </c>
      <c r="G56" s="2">
        <v>45680</v>
      </c>
      <c r="H56" s="5">
        <f t="shared" si="0"/>
        <v>6</v>
      </c>
      <c r="I56" s="5">
        <f t="shared" si="1"/>
        <v>0</v>
      </c>
      <c r="J56" s="2" t="s">
        <v>31</v>
      </c>
      <c r="K56" s="2" t="s">
        <v>587</v>
      </c>
      <c r="L56" s="2"/>
      <c r="AD56" s="33" t="str">
        <f t="shared" si="2"/>
        <v>Thursday</v>
      </c>
    </row>
    <row r="57" spans="1:30" x14ac:dyDescent="0.2">
      <c r="A57" s="23">
        <v>39492</v>
      </c>
      <c r="B57" s="2" t="s">
        <v>38</v>
      </c>
      <c r="C57" t="s">
        <v>49</v>
      </c>
      <c r="D57" t="s">
        <v>208</v>
      </c>
      <c r="E57" s="2">
        <v>45674</v>
      </c>
      <c r="F57" s="2" cm="1">
        <f t="array" ref="F57">_xlfn.IFS(B57="Owner Surrender",E57,B57="Stray",E57+6,B57="Stray w/identification",E57+11,B57="Bite",E57+10,B57="Other",E57+30,B57="BAS",E57+56,B57="Seized",E57)</f>
        <v>45680</v>
      </c>
      <c r="G57" s="2">
        <v>45670</v>
      </c>
      <c r="H57" s="5">
        <f t="shared" si="0"/>
        <v>-4</v>
      </c>
      <c r="I57" s="5">
        <f t="shared" si="1"/>
        <v>-10</v>
      </c>
      <c r="J57" s="2" t="s">
        <v>31</v>
      </c>
      <c r="K57" s="2" t="s">
        <v>587</v>
      </c>
      <c r="L57" s="2"/>
      <c r="M57" s="2"/>
      <c r="AD57" s="33" t="str">
        <f t="shared" si="2"/>
        <v>Monday</v>
      </c>
    </row>
    <row r="58" spans="1:30" x14ac:dyDescent="0.2">
      <c r="A58" s="23">
        <v>39493</v>
      </c>
      <c r="B58" s="2" t="s">
        <v>38</v>
      </c>
      <c r="C58" t="s">
        <v>49</v>
      </c>
      <c r="D58" t="s">
        <v>208</v>
      </c>
      <c r="E58" s="2">
        <v>45674</v>
      </c>
      <c r="F58" s="2" cm="1">
        <f t="array" ref="F58">_xlfn.IFS(B58="Owner Surrender",E58,B58="Stray",E58+6,B58="Stray w/identification",E58+11,B58="Bite",E58+10,B58="Other",E58+30,B58="BAS",E58+56,B58="Seized",E58)</f>
        <v>45680</v>
      </c>
      <c r="G58" s="2">
        <v>45680</v>
      </c>
      <c r="H58" s="5">
        <f t="shared" si="0"/>
        <v>6</v>
      </c>
      <c r="I58" s="5">
        <f t="shared" si="1"/>
        <v>0</v>
      </c>
      <c r="J58" s="2" t="s">
        <v>31</v>
      </c>
      <c r="K58" s="2" t="s">
        <v>587</v>
      </c>
      <c r="AD58" s="33" t="str">
        <f t="shared" si="2"/>
        <v>Thursday</v>
      </c>
    </row>
    <row r="59" spans="1:30" x14ac:dyDescent="0.2">
      <c r="A59" s="23">
        <v>39494</v>
      </c>
      <c r="B59" s="2" t="s">
        <v>38</v>
      </c>
      <c r="C59" t="s">
        <v>49</v>
      </c>
      <c r="D59" t="s">
        <v>208</v>
      </c>
      <c r="E59" s="2">
        <v>45674</v>
      </c>
      <c r="F59" s="2" cm="1">
        <f t="array" ref="F59">_xlfn.IFS(B59="Owner Surrender",E59,B59="Stray",E59+6,B59="Stray w/identification",E59+11,B59="Bite",E59+10,B59="Other",E59+30,B59="BAS",E59+56,B59="Seized",E59)</f>
        <v>45680</v>
      </c>
      <c r="G59" s="2">
        <v>45680</v>
      </c>
      <c r="H59" s="5">
        <f t="shared" si="0"/>
        <v>6</v>
      </c>
      <c r="I59" s="5">
        <f t="shared" si="1"/>
        <v>0</v>
      </c>
      <c r="J59" s="2" t="s">
        <v>31</v>
      </c>
      <c r="K59" s="2" t="s">
        <v>587</v>
      </c>
      <c r="L59" s="2"/>
      <c r="M59" s="2"/>
      <c r="AD59" s="33" t="str">
        <f t="shared" si="2"/>
        <v>Thursday</v>
      </c>
    </row>
    <row r="60" spans="1:30" x14ac:dyDescent="0.2">
      <c r="A60" s="23">
        <v>39496</v>
      </c>
      <c r="B60" s="2" t="s">
        <v>38</v>
      </c>
      <c r="C60" t="s">
        <v>72</v>
      </c>
      <c r="D60" t="s">
        <v>207</v>
      </c>
      <c r="E60" s="2">
        <v>45674</v>
      </c>
      <c r="F60" s="2" cm="1">
        <f t="array" ref="F60">_xlfn.IFS(B60="Owner Surrender",E60,B60="Stray",E60+6,B60="Stray w/identification",E60+11,B60="Bite",E60+10,B60="Other",E60+30,B60="BAS",E60+56,B60="Seized",E60)</f>
        <v>45680</v>
      </c>
      <c r="G60" s="2">
        <v>45682</v>
      </c>
      <c r="H60" s="5">
        <f t="shared" si="0"/>
        <v>8</v>
      </c>
      <c r="I60" s="5">
        <f t="shared" si="1"/>
        <v>2</v>
      </c>
      <c r="J60" s="2" t="s">
        <v>11</v>
      </c>
      <c r="K60" s="2" t="s">
        <v>586</v>
      </c>
      <c r="L60" t="s">
        <v>234</v>
      </c>
      <c r="AD60" s="33" t="str">
        <f t="shared" si="2"/>
        <v>Saturday</v>
      </c>
    </row>
    <row r="61" spans="1:30" x14ac:dyDescent="0.2">
      <c r="A61" s="23">
        <v>39497</v>
      </c>
      <c r="B61" s="2" t="s">
        <v>36</v>
      </c>
      <c r="C61" t="s">
        <v>249</v>
      </c>
      <c r="D61" t="s">
        <v>207</v>
      </c>
      <c r="E61" s="2">
        <v>45674</v>
      </c>
      <c r="F61" s="2" cm="1">
        <f t="array" ref="F61">_xlfn.IFS(B61="Owner Surrender",E61,B61="Stray",E61+6,B61="Stray w/identification",E61+11,B61="Bite",E61+10,B61="Other",E61+30,B61="BAS",E61+56,B61="Seized",E61)</f>
        <v>45674</v>
      </c>
      <c r="G61" s="2">
        <v>45680</v>
      </c>
      <c r="H61" s="5">
        <f t="shared" si="0"/>
        <v>6</v>
      </c>
      <c r="I61" s="5">
        <f t="shared" si="1"/>
        <v>6</v>
      </c>
      <c r="J61" s="2" t="s">
        <v>31</v>
      </c>
      <c r="K61" s="2" t="s">
        <v>587</v>
      </c>
      <c r="L61" s="2" t="s">
        <v>261</v>
      </c>
      <c r="AD61" s="33" t="str">
        <f t="shared" si="2"/>
        <v>Thursday</v>
      </c>
    </row>
    <row r="62" spans="1:30" x14ac:dyDescent="0.2">
      <c r="A62" s="23">
        <v>39498</v>
      </c>
      <c r="B62" s="2" t="s">
        <v>36</v>
      </c>
      <c r="C62" t="s">
        <v>49</v>
      </c>
      <c r="D62" t="s">
        <v>207</v>
      </c>
      <c r="E62" s="2">
        <v>45674</v>
      </c>
      <c r="F62" s="2" cm="1">
        <f t="array" ref="F62">_xlfn.IFS(B62="Owner Surrender",E62,B62="Stray",E62+6,B62="Stray w/identification",E62+11,B62="Bite",E62+10,B62="Other",E62+30,B62="BAS",E62+56,B62="Seized",E62)</f>
        <v>45674</v>
      </c>
      <c r="G62" s="2">
        <v>45681</v>
      </c>
      <c r="H62" s="5">
        <f t="shared" si="0"/>
        <v>7</v>
      </c>
      <c r="I62" s="5">
        <f t="shared" si="1"/>
        <v>7</v>
      </c>
      <c r="J62" s="2" t="s">
        <v>31</v>
      </c>
      <c r="K62" s="2" t="s">
        <v>587</v>
      </c>
      <c r="L62" s="2" t="s">
        <v>258</v>
      </c>
      <c r="AD62" s="33" t="str">
        <f t="shared" si="2"/>
        <v>Friday</v>
      </c>
    </row>
    <row r="63" spans="1:30" x14ac:dyDescent="0.2">
      <c r="A63" s="23">
        <v>39499</v>
      </c>
      <c r="B63" s="2" t="s">
        <v>36</v>
      </c>
      <c r="C63" t="s">
        <v>49</v>
      </c>
      <c r="D63" t="s">
        <v>207</v>
      </c>
      <c r="E63" s="2">
        <v>45674</v>
      </c>
      <c r="F63" s="2" cm="1">
        <f t="array" ref="F63">_xlfn.IFS(B63="Owner Surrender",E63,B63="Stray",E63+6,B63="Stray w/identification",E63+11,B63="Bite",E63+10,B63="Other",E63+30,B63="BAS",E63+56,B63="Seized",E63)</f>
        <v>45674</v>
      </c>
      <c r="G63" s="2">
        <v>45681</v>
      </c>
      <c r="H63" s="5">
        <f t="shared" si="0"/>
        <v>7</v>
      </c>
      <c r="I63" s="5">
        <f t="shared" si="1"/>
        <v>7</v>
      </c>
      <c r="J63" s="2" t="s">
        <v>31</v>
      </c>
      <c r="K63" s="2" t="s">
        <v>587</v>
      </c>
      <c r="L63" s="2" t="s">
        <v>260</v>
      </c>
      <c r="AD63" s="33" t="str">
        <f t="shared" si="2"/>
        <v>Friday</v>
      </c>
    </row>
    <row r="64" spans="1:30" x14ac:dyDescent="0.2">
      <c r="A64" s="23">
        <v>39500</v>
      </c>
      <c r="B64" s="2" t="s">
        <v>36</v>
      </c>
      <c r="C64" t="s">
        <v>49</v>
      </c>
      <c r="D64" t="s">
        <v>207</v>
      </c>
      <c r="E64" s="2">
        <v>45674</v>
      </c>
      <c r="F64" s="2" cm="1">
        <f t="array" ref="F64">_xlfn.IFS(B64="Owner Surrender",E64,B64="Stray",E64+6,B64="Stray w/identification",E64+11,B64="Bite",E64+10,B64="Other",E64+30,B64="BAS",E64+56,B64="Seized",E64)</f>
        <v>45674</v>
      </c>
      <c r="G64" s="2">
        <v>45681</v>
      </c>
      <c r="H64" s="5">
        <f t="shared" si="0"/>
        <v>7</v>
      </c>
      <c r="I64" s="5">
        <f t="shared" si="1"/>
        <v>7</v>
      </c>
      <c r="J64" s="2" t="s">
        <v>31</v>
      </c>
      <c r="K64" s="2" t="s">
        <v>587</v>
      </c>
      <c r="L64" t="s">
        <v>259</v>
      </c>
      <c r="AD64" s="33" t="str">
        <f t="shared" si="2"/>
        <v>Friday</v>
      </c>
    </row>
    <row r="65" spans="1:30" x14ac:dyDescent="0.2">
      <c r="A65" s="23">
        <v>39501</v>
      </c>
      <c r="B65" s="2" t="s">
        <v>36</v>
      </c>
      <c r="C65" t="s">
        <v>49</v>
      </c>
      <c r="D65" t="s">
        <v>207</v>
      </c>
      <c r="E65" s="2">
        <v>45674</v>
      </c>
      <c r="F65" s="2" cm="1">
        <f t="array" ref="F65">_xlfn.IFS(B65="Owner Surrender",E65,B65="Stray",E65+6,B65="Stray w/identification",E65+11,B65="Bite",E65+10,B65="Other",E65+30,B65="BAS",E65+56,B65="Seized",E65)</f>
        <v>45674</v>
      </c>
      <c r="G65" s="2">
        <v>45677</v>
      </c>
      <c r="H65" s="5">
        <f t="shared" si="0"/>
        <v>3</v>
      </c>
      <c r="I65" s="5">
        <f t="shared" si="1"/>
        <v>3</v>
      </c>
      <c r="J65" s="2" t="s">
        <v>31</v>
      </c>
      <c r="K65" s="2" t="s">
        <v>587</v>
      </c>
      <c r="L65" t="s">
        <v>258</v>
      </c>
      <c r="AD65" s="33" t="str">
        <f t="shared" si="2"/>
        <v>Monday</v>
      </c>
    </row>
    <row r="66" spans="1:30" x14ac:dyDescent="0.2">
      <c r="A66" s="23">
        <v>39503</v>
      </c>
      <c r="B66" s="2" t="s">
        <v>38</v>
      </c>
      <c r="C66" t="s">
        <v>49</v>
      </c>
      <c r="D66" t="s">
        <v>208</v>
      </c>
      <c r="E66" s="2">
        <v>45674</v>
      </c>
      <c r="F66" s="2" cm="1">
        <f t="array" ref="F66">_xlfn.IFS(B66="Owner Surrender",E66,B66="Stray",E66+6,B66="Stray w/identification",E66+11,B66="Bite",E66+10,B66="Other",E66+30,B66="BAS",E66+56,B66="Seized",E66)</f>
        <v>45680</v>
      </c>
      <c r="G66" s="2">
        <v>45684</v>
      </c>
      <c r="H66" s="5">
        <f t="shared" si="0"/>
        <v>10</v>
      </c>
      <c r="I66" s="5">
        <f t="shared" si="1"/>
        <v>4</v>
      </c>
      <c r="J66" s="2" t="s">
        <v>11</v>
      </c>
      <c r="K66" s="2" t="s">
        <v>586</v>
      </c>
      <c r="L66" t="s">
        <v>241</v>
      </c>
      <c r="AD66" s="33" t="str">
        <f t="shared" si="2"/>
        <v>Monday</v>
      </c>
    </row>
    <row r="67" spans="1:30" x14ac:dyDescent="0.2">
      <c r="A67" s="23">
        <v>39505</v>
      </c>
      <c r="B67" s="2" t="s">
        <v>38</v>
      </c>
      <c r="C67" t="s">
        <v>281</v>
      </c>
      <c r="D67" t="s">
        <v>208</v>
      </c>
      <c r="E67" s="2">
        <v>45675</v>
      </c>
      <c r="F67" s="2" cm="1">
        <f t="array" ref="F67">_xlfn.IFS(B67="Owner Surrender",E67,B67="Stray",E67+6,B67="Stray w/identification",E67+11,B67="Bite",E67+10,B67="Other",E67+30,B67="BAS",E67+56,B67="Seized",E67)</f>
        <v>45681</v>
      </c>
      <c r="G67" s="2">
        <v>45686</v>
      </c>
      <c r="H67" s="5">
        <f t="shared" ref="H67:H130" si="3">+G67-E67</f>
        <v>11</v>
      </c>
      <c r="I67" s="5">
        <f t="shared" ref="I67:I130" si="4">G67-F67</f>
        <v>5</v>
      </c>
      <c r="J67" s="2" t="s">
        <v>31</v>
      </c>
      <c r="K67" s="2" t="s">
        <v>587</v>
      </c>
      <c r="AD67" s="33" t="str">
        <f t="shared" si="2"/>
        <v>Wednesday</v>
      </c>
    </row>
    <row r="68" spans="1:30" x14ac:dyDescent="0.2">
      <c r="A68" s="23">
        <v>39506</v>
      </c>
      <c r="B68" s="2" t="s">
        <v>38</v>
      </c>
      <c r="C68" t="s">
        <v>281</v>
      </c>
      <c r="D68" t="s">
        <v>208</v>
      </c>
      <c r="E68" s="2">
        <v>45675</v>
      </c>
      <c r="F68" s="2" cm="1">
        <f t="array" ref="F68">_xlfn.IFS(B68="Owner Surrender",E68,B68="Stray",E68+6,B68="Stray w/identification",E68+11,B68="Bite",E68+10,B68="Other",E68+30,B68="BAS",E68+56,B68="Seized",E68)</f>
        <v>45681</v>
      </c>
      <c r="G68" s="2">
        <v>45686</v>
      </c>
      <c r="H68" s="5">
        <f t="shared" si="3"/>
        <v>11</v>
      </c>
      <c r="I68" s="5">
        <f t="shared" si="4"/>
        <v>5</v>
      </c>
      <c r="J68" s="2" t="s">
        <v>31</v>
      </c>
      <c r="K68" s="2" t="s">
        <v>587</v>
      </c>
      <c r="AD68" s="33" t="str">
        <f t="shared" ref="AD68:AD131" si="5">TEXT(G68,"DDDD")</f>
        <v>Wednesday</v>
      </c>
    </row>
    <row r="69" spans="1:30" x14ac:dyDescent="0.2">
      <c r="A69" s="23">
        <v>39507</v>
      </c>
      <c r="B69" s="2" t="s">
        <v>38</v>
      </c>
      <c r="C69" t="s">
        <v>281</v>
      </c>
      <c r="D69" t="s">
        <v>208</v>
      </c>
      <c r="E69" s="2">
        <v>45675</v>
      </c>
      <c r="F69" s="2" cm="1">
        <f t="array" ref="F69">_xlfn.IFS(B69="Owner Surrender",E69,B69="Stray",E69+6,B69="Stray w/identification",E69+11,B69="Bite",E69+10,B69="Other",E69+30,B69="BAS",E69+56,B69="Seized",E69)</f>
        <v>45681</v>
      </c>
      <c r="G69" s="2">
        <v>45686</v>
      </c>
      <c r="H69" s="5">
        <f t="shared" si="3"/>
        <v>11</v>
      </c>
      <c r="I69" s="5">
        <f t="shared" si="4"/>
        <v>5</v>
      </c>
      <c r="J69" s="2" t="s">
        <v>31</v>
      </c>
      <c r="K69" s="2" t="s">
        <v>587</v>
      </c>
      <c r="AD69" s="33" t="str">
        <f t="shared" si="5"/>
        <v>Wednesday</v>
      </c>
    </row>
    <row r="70" spans="1:30" x14ac:dyDescent="0.2">
      <c r="A70" s="23">
        <v>39508</v>
      </c>
      <c r="B70" s="2" t="s">
        <v>38</v>
      </c>
      <c r="C70" t="s">
        <v>71</v>
      </c>
      <c r="D70" t="s">
        <v>207</v>
      </c>
      <c r="E70" s="2">
        <v>45675</v>
      </c>
      <c r="F70" s="2" cm="1">
        <f t="array" ref="F70">_xlfn.IFS(B70="Owner Surrender",E70,B70="Stray",E70+6,B70="Stray w/identification",E70+11,B70="Bite",E70+10,B70="Other",E70+30,B70="BAS",E70+56,B70="Seized",E70)</f>
        <v>45681</v>
      </c>
      <c r="G70" s="2">
        <v>45692</v>
      </c>
      <c r="H70" s="5">
        <f t="shared" si="3"/>
        <v>17</v>
      </c>
      <c r="I70" s="5">
        <f t="shared" si="4"/>
        <v>11</v>
      </c>
      <c r="J70" s="2" t="s">
        <v>31</v>
      </c>
      <c r="K70" s="2" t="s">
        <v>587</v>
      </c>
      <c r="AD70" s="33" t="str">
        <f t="shared" si="5"/>
        <v>Tuesday</v>
      </c>
    </row>
    <row r="71" spans="1:30" x14ac:dyDescent="0.2">
      <c r="A71" s="23">
        <v>39510</v>
      </c>
      <c r="B71" s="2" t="s">
        <v>36</v>
      </c>
      <c r="C71" t="s">
        <v>148</v>
      </c>
      <c r="D71" t="s">
        <v>208</v>
      </c>
      <c r="E71" s="2">
        <v>45675</v>
      </c>
      <c r="F71" s="2" cm="1">
        <f t="array" ref="F71">_xlfn.IFS(B71="Owner Surrender",E71,B71="Stray",E71+6,B71="Stray w/identification",E71+11,B71="Bite",E71+10,B71="Other",E71+30,B71="BAS",E71+56,B71="Seized",E71)</f>
        <v>45675</v>
      </c>
      <c r="G71" s="2">
        <v>45695</v>
      </c>
      <c r="H71" s="5">
        <f t="shared" si="3"/>
        <v>20</v>
      </c>
      <c r="I71" s="5">
        <f t="shared" si="4"/>
        <v>20</v>
      </c>
      <c r="J71" s="2" t="s">
        <v>31</v>
      </c>
      <c r="K71" s="2" t="s">
        <v>587</v>
      </c>
      <c r="AD71" s="33" t="str">
        <f t="shared" si="5"/>
        <v>Friday</v>
      </c>
    </row>
    <row r="72" spans="1:30" x14ac:dyDescent="0.2">
      <c r="A72" s="23">
        <v>39512</v>
      </c>
      <c r="B72" s="2" t="s">
        <v>179</v>
      </c>
      <c r="C72" t="s">
        <v>49</v>
      </c>
      <c r="D72" t="s">
        <v>207</v>
      </c>
      <c r="E72" s="2">
        <v>45675</v>
      </c>
      <c r="F72" s="2" cm="1">
        <f t="array" ref="F72">_xlfn.IFS(B72="Owner Surrender",E72,B72="Stray",E72+6,B72="Stray w/identification",E72+11,B72="Bite",E72+10,B72="Other",E72+30,B72="BAS",E72+56,B72="Seized",E72)</f>
        <v>45686</v>
      </c>
      <c r="G72" s="2">
        <v>45692</v>
      </c>
      <c r="H72" s="5">
        <f t="shared" si="3"/>
        <v>17</v>
      </c>
      <c r="I72" s="5">
        <f t="shared" si="4"/>
        <v>6</v>
      </c>
      <c r="J72" s="2" t="s">
        <v>31</v>
      </c>
      <c r="K72" s="2" t="s">
        <v>587</v>
      </c>
      <c r="M72" t="s">
        <v>257</v>
      </c>
      <c r="AD72" s="33" t="str">
        <f t="shared" si="5"/>
        <v>Tuesday</v>
      </c>
    </row>
    <row r="73" spans="1:30" x14ac:dyDescent="0.2">
      <c r="A73" s="23">
        <v>39513</v>
      </c>
      <c r="B73" s="2" t="s">
        <v>38</v>
      </c>
      <c r="C73" t="s">
        <v>49</v>
      </c>
      <c r="D73" t="s">
        <v>207</v>
      </c>
      <c r="E73" s="2">
        <v>45676</v>
      </c>
      <c r="F73" s="2" cm="1">
        <f t="array" ref="F73">_xlfn.IFS(B73="Owner Surrender",E73,B73="Stray",E73+6,B73="Stray w/identification",E73+11,B73="Bite",E73+10,B73="Other",E73+30,B73="BAS",E73+56,B73="Seized",E73)</f>
        <v>45682</v>
      </c>
      <c r="G73" s="2">
        <v>45785</v>
      </c>
      <c r="H73" s="5">
        <f t="shared" si="3"/>
        <v>109</v>
      </c>
      <c r="I73" s="5">
        <f t="shared" si="4"/>
        <v>103</v>
      </c>
      <c r="J73" s="2" t="s">
        <v>31</v>
      </c>
      <c r="K73" s="2" t="s">
        <v>587</v>
      </c>
      <c r="AD73" s="33" t="str">
        <f t="shared" si="5"/>
        <v>Thursday</v>
      </c>
    </row>
    <row r="74" spans="1:30" x14ac:dyDescent="0.2">
      <c r="A74" s="23">
        <v>39514</v>
      </c>
      <c r="B74" s="2" t="s">
        <v>38</v>
      </c>
      <c r="C74" t="s">
        <v>75</v>
      </c>
      <c r="D74" t="s">
        <v>207</v>
      </c>
      <c r="E74" s="2">
        <v>45676</v>
      </c>
      <c r="F74" s="2" cm="1">
        <f t="array" ref="F74">_xlfn.IFS(B74="Owner Surrender",E74,B74="Stray",E74+6,B74="Stray w/identification",E74+11,B74="Bite",E74+10,B74="Other",E74+30,B74="BAS",E74+56,B74="Seized",E74)</f>
        <v>45682</v>
      </c>
      <c r="G74" s="2">
        <v>45685</v>
      </c>
      <c r="H74" s="5">
        <f t="shared" si="3"/>
        <v>9</v>
      </c>
      <c r="I74" s="5">
        <f t="shared" si="4"/>
        <v>3</v>
      </c>
      <c r="J74" s="2" t="s">
        <v>31</v>
      </c>
      <c r="K74" s="2" t="s">
        <v>587</v>
      </c>
      <c r="AD74" s="33" t="str">
        <f t="shared" si="5"/>
        <v>Tuesday</v>
      </c>
    </row>
    <row r="75" spans="1:30" x14ac:dyDescent="0.2">
      <c r="A75" s="23">
        <v>39515</v>
      </c>
      <c r="B75" s="2" t="s">
        <v>38</v>
      </c>
      <c r="C75" t="s">
        <v>422</v>
      </c>
      <c r="D75" t="s">
        <v>207</v>
      </c>
      <c r="E75" s="2">
        <v>45676</v>
      </c>
      <c r="F75" s="2" cm="1">
        <f t="array" ref="F75">_xlfn.IFS(B75="Owner Surrender",E75,B75="Stray",E75+6,B75="Stray w/identification",E75+11,B75="Bite",E75+10,B75="Other",E75+30,B75="BAS",E75+56,B75="Seized",E75)</f>
        <v>45682</v>
      </c>
      <c r="G75" s="2">
        <v>45678</v>
      </c>
      <c r="H75" s="5">
        <f t="shared" si="3"/>
        <v>2</v>
      </c>
      <c r="I75" s="5">
        <f t="shared" si="4"/>
        <v>-4</v>
      </c>
      <c r="J75" s="2" t="s">
        <v>8</v>
      </c>
      <c r="K75" s="2" t="s">
        <v>586</v>
      </c>
      <c r="AD75" s="33" t="str">
        <f t="shared" si="5"/>
        <v>Tuesday</v>
      </c>
    </row>
    <row r="76" spans="1:30" x14ac:dyDescent="0.2">
      <c r="A76" s="23">
        <v>39516</v>
      </c>
      <c r="B76" s="2" t="s">
        <v>38</v>
      </c>
      <c r="C76" t="s">
        <v>49</v>
      </c>
      <c r="D76" t="s">
        <v>207</v>
      </c>
      <c r="E76" s="2">
        <v>45676</v>
      </c>
      <c r="F76" s="2" cm="1">
        <f t="array" ref="F76">_xlfn.IFS(B76="Owner Surrender",E76,B76="Stray",E76+6,B76="Stray w/identification",E76+11,B76="Bite",E76+10,B76="Other",E76+30,B76="BAS",E76+56,B76="Seized",E76)</f>
        <v>45682</v>
      </c>
      <c r="G76" s="2">
        <v>45686</v>
      </c>
      <c r="H76" s="5">
        <f t="shared" si="3"/>
        <v>10</v>
      </c>
      <c r="I76" s="5">
        <f t="shared" si="4"/>
        <v>4</v>
      </c>
      <c r="J76" s="2" t="s">
        <v>31</v>
      </c>
      <c r="K76" s="2" t="s">
        <v>587</v>
      </c>
      <c r="AD76" s="33" t="str">
        <f t="shared" si="5"/>
        <v>Wednesday</v>
      </c>
    </row>
    <row r="77" spans="1:30" x14ac:dyDescent="0.2">
      <c r="A77" s="23">
        <v>39517</v>
      </c>
      <c r="B77" s="2" t="s">
        <v>179</v>
      </c>
      <c r="C77" t="s">
        <v>420</v>
      </c>
      <c r="D77" t="s">
        <v>207</v>
      </c>
      <c r="E77" s="2">
        <v>45675</v>
      </c>
      <c r="F77" s="2" cm="1">
        <f t="array" ref="F77">_xlfn.IFS(B77="Owner Surrender",E77,B77="Stray",E77+6,B77="Stray w/identification",E77+11,B77="Bite",E77+10,B77="Other",E77+30,B77="BAS",E77+56,B77="Seized",E77)</f>
        <v>45686</v>
      </c>
      <c r="G77" s="2">
        <v>45677</v>
      </c>
      <c r="H77" s="5">
        <f t="shared" si="3"/>
        <v>2</v>
      </c>
      <c r="I77" s="5">
        <f t="shared" si="4"/>
        <v>-9</v>
      </c>
      <c r="J77" s="2" t="s">
        <v>8</v>
      </c>
      <c r="K77" s="2" t="s">
        <v>586</v>
      </c>
      <c r="AD77" s="33" t="str">
        <f t="shared" si="5"/>
        <v>Monday</v>
      </c>
    </row>
    <row r="78" spans="1:30" x14ac:dyDescent="0.2">
      <c r="A78" s="23">
        <v>39518</v>
      </c>
      <c r="B78" s="2" t="s">
        <v>38</v>
      </c>
      <c r="C78" t="s">
        <v>246</v>
      </c>
      <c r="D78" t="s">
        <v>207</v>
      </c>
      <c r="E78" s="2">
        <v>45677</v>
      </c>
      <c r="F78" s="2" cm="1">
        <f t="array" ref="F78">_xlfn.IFS(B78="Owner Surrender",E78,B78="Stray",E78+6,B78="Stray w/identification",E78+11,B78="Bite",E78+10,B78="Other",E78+30,B78="BAS",E78+56,B78="Seized",E78)</f>
        <v>45683</v>
      </c>
      <c r="G78" s="2">
        <v>45685</v>
      </c>
      <c r="H78" s="5">
        <f t="shared" si="3"/>
        <v>8</v>
      </c>
      <c r="I78" s="5">
        <f t="shared" si="4"/>
        <v>2</v>
      </c>
      <c r="J78" s="2" t="s">
        <v>31</v>
      </c>
      <c r="K78" s="2" t="s">
        <v>587</v>
      </c>
      <c r="L78" t="s">
        <v>256</v>
      </c>
      <c r="AD78" s="33" t="str">
        <f t="shared" si="5"/>
        <v>Tuesday</v>
      </c>
    </row>
    <row r="79" spans="1:30" x14ac:dyDescent="0.2">
      <c r="A79" s="23">
        <v>39519</v>
      </c>
      <c r="B79" s="2" t="s">
        <v>36</v>
      </c>
      <c r="C79" t="s">
        <v>110</v>
      </c>
      <c r="D79" t="s">
        <v>210</v>
      </c>
      <c r="E79" s="2">
        <v>45677</v>
      </c>
      <c r="F79" s="2" cm="1">
        <f t="array" ref="F79">_xlfn.IFS(B79="Owner Surrender",E79,B79="Stray",E79+6,B79="Stray w/identification",E79+11,B79="Bite",E79+10,B79="Other",E79+30,B79="BAS",E79+56,B79="Seized",E79)</f>
        <v>45677</v>
      </c>
      <c r="G79" s="2">
        <v>45677</v>
      </c>
      <c r="H79" s="5">
        <f t="shared" si="3"/>
        <v>0</v>
      </c>
      <c r="I79" s="5">
        <f t="shared" si="4"/>
        <v>0</v>
      </c>
      <c r="J79" s="2" t="s">
        <v>31</v>
      </c>
      <c r="K79" s="2" t="s">
        <v>589</v>
      </c>
      <c r="M79" t="s">
        <v>423</v>
      </c>
      <c r="AD79" s="33" t="str">
        <f t="shared" si="5"/>
        <v>Monday</v>
      </c>
    </row>
    <row r="80" spans="1:30" x14ac:dyDescent="0.2">
      <c r="A80" s="23">
        <v>39520</v>
      </c>
      <c r="B80" s="2" t="s">
        <v>38</v>
      </c>
      <c r="C80" t="s">
        <v>70</v>
      </c>
      <c r="D80" t="s">
        <v>207</v>
      </c>
      <c r="E80" s="2">
        <v>45677</v>
      </c>
      <c r="F80" s="2" cm="1">
        <f t="array" ref="F80">_xlfn.IFS(B80="Owner Surrender",E80,B80="Stray",E80+6,B80="Stray w/identification",E80+11,B80="Bite",E80+10,B80="Other",E80+30,B80="BAS",E80+56,B80="Seized",E80)</f>
        <v>45683</v>
      </c>
      <c r="G80" s="2">
        <v>45679</v>
      </c>
      <c r="H80" s="5">
        <f t="shared" si="3"/>
        <v>2</v>
      </c>
      <c r="I80" s="5">
        <f t="shared" si="4"/>
        <v>-4</v>
      </c>
      <c r="J80" s="2" t="s">
        <v>8</v>
      </c>
      <c r="K80" s="2" t="s">
        <v>586</v>
      </c>
      <c r="AD80" s="33" t="str">
        <f t="shared" si="5"/>
        <v>Wednesday</v>
      </c>
    </row>
    <row r="81" spans="1:30" x14ac:dyDescent="0.2">
      <c r="A81" s="23">
        <v>39523</v>
      </c>
      <c r="B81" s="2" t="s">
        <v>36</v>
      </c>
      <c r="C81" t="s">
        <v>78</v>
      </c>
      <c r="D81" t="s">
        <v>209</v>
      </c>
      <c r="E81" s="2">
        <v>45678</v>
      </c>
      <c r="F81" s="2" cm="1">
        <f t="array" ref="F81">_xlfn.IFS(B81="Owner Surrender",E81,B81="Stray",E81+6,B81="Stray w/identification",E81+11,B81="Bite",E81+10,B81="Other",E81+30,B81="BAS",E81+56,B81="Seized",E81)</f>
        <v>45678</v>
      </c>
      <c r="G81" s="2">
        <v>45680</v>
      </c>
      <c r="H81" s="5">
        <f t="shared" si="3"/>
        <v>2</v>
      </c>
      <c r="I81" s="5">
        <f t="shared" si="4"/>
        <v>2</v>
      </c>
      <c r="J81" s="2" t="s">
        <v>18</v>
      </c>
      <c r="K81" s="2" t="s">
        <v>586</v>
      </c>
      <c r="AD81" s="33" t="str">
        <f t="shared" si="5"/>
        <v>Thursday</v>
      </c>
    </row>
    <row r="82" spans="1:30" x14ac:dyDescent="0.2">
      <c r="A82" s="23">
        <v>39524</v>
      </c>
      <c r="B82" s="2" t="s">
        <v>179</v>
      </c>
      <c r="C82" t="s">
        <v>246</v>
      </c>
      <c r="D82" t="s">
        <v>207</v>
      </c>
      <c r="E82" s="2">
        <v>45678</v>
      </c>
      <c r="F82" s="2" cm="1">
        <f t="array" ref="F82">_xlfn.IFS(B82="Owner Surrender",E82,B82="Stray",E82+6,B82="Stray w/identification",E82+11,B82="Bite",E82+10,B82="Other",E82+30,B82="BAS",E82+56,B82="Seized",E82)</f>
        <v>45689</v>
      </c>
      <c r="G82" s="2">
        <v>45692</v>
      </c>
      <c r="H82" s="5">
        <f t="shared" si="3"/>
        <v>14</v>
      </c>
      <c r="I82" s="5">
        <f t="shared" si="4"/>
        <v>3</v>
      </c>
      <c r="J82" s="2" t="s">
        <v>31</v>
      </c>
      <c r="K82" s="2" t="s">
        <v>587</v>
      </c>
      <c r="M82" t="s">
        <v>255</v>
      </c>
      <c r="AD82" s="33" t="str">
        <f t="shared" si="5"/>
        <v>Tuesday</v>
      </c>
    </row>
    <row r="83" spans="1:30" x14ac:dyDescent="0.2">
      <c r="A83" s="23">
        <v>39533</v>
      </c>
      <c r="B83" s="2" t="s">
        <v>36</v>
      </c>
      <c r="C83" t="s">
        <v>72</v>
      </c>
      <c r="D83" t="s">
        <v>207</v>
      </c>
      <c r="E83" s="2">
        <v>45679</v>
      </c>
      <c r="F83" s="2" cm="1">
        <f t="array" ref="F83">_xlfn.IFS(B83="Owner Surrender",E83,B83="Stray",E83+6,B83="Stray w/identification",E83+11,B83="Bite",E83+10,B83="Other",E83+30,B83="BAS",E83+56,B83="Seized",E83)</f>
        <v>45679</v>
      </c>
      <c r="G83" s="2">
        <v>45699</v>
      </c>
      <c r="H83" s="5">
        <f t="shared" si="3"/>
        <v>20</v>
      </c>
      <c r="I83" s="5">
        <f t="shared" si="4"/>
        <v>20</v>
      </c>
      <c r="J83" s="2" t="s">
        <v>31</v>
      </c>
      <c r="K83" s="2" t="s">
        <v>587</v>
      </c>
      <c r="AD83" s="33" t="str">
        <f t="shared" si="5"/>
        <v>Tuesday</v>
      </c>
    </row>
    <row r="84" spans="1:30" x14ac:dyDescent="0.2">
      <c r="A84" s="23">
        <v>39534</v>
      </c>
      <c r="B84" s="2" t="s">
        <v>36</v>
      </c>
      <c r="C84" t="s">
        <v>424</v>
      </c>
      <c r="D84" t="s">
        <v>209</v>
      </c>
      <c r="E84" s="2">
        <v>45679</v>
      </c>
      <c r="F84" s="2" cm="1">
        <f t="array" ref="F84">_xlfn.IFS(B84="Owner Surrender",E84,B84="Stray",E84+6,B84="Stray w/identification",E84+11,B84="Bite",E84+10,B84="Other",E84+30,B84="BAS",E84+56,B84="Seized",E84)</f>
        <v>45679</v>
      </c>
      <c r="G84" s="2">
        <v>45680</v>
      </c>
      <c r="H84" s="5">
        <f t="shared" si="3"/>
        <v>1</v>
      </c>
      <c r="I84" s="5">
        <f t="shared" si="4"/>
        <v>1</v>
      </c>
      <c r="J84" s="2" t="s">
        <v>18</v>
      </c>
      <c r="K84" s="2" t="s">
        <v>586</v>
      </c>
      <c r="L84" t="s">
        <v>425</v>
      </c>
      <c r="AD84" s="33" t="str">
        <f t="shared" si="5"/>
        <v>Thursday</v>
      </c>
    </row>
    <row r="85" spans="1:30" x14ac:dyDescent="0.2">
      <c r="A85" s="23">
        <v>39535</v>
      </c>
      <c r="B85" s="2" t="s">
        <v>179</v>
      </c>
      <c r="C85" t="s">
        <v>253</v>
      </c>
      <c r="D85" t="s">
        <v>207</v>
      </c>
      <c r="E85" s="2">
        <v>45679</v>
      </c>
      <c r="F85" s="2" cm="1">
        <f t="array" ref="F85">_xlfn.IFS(B85="Owner Surrender",E85,B85="Stray",E85+6,B85="Stray w/identification",E85+11,B85="Bite",E85+10,B85="Other",E85+30,B85="BAS",E85+56,B85="Seized",E85)</f>
        <v>45690</v>
      </c>
      <c r="G85" s="2">
        <v>45692</v>
      </c>
      <c r="H85" s="5">
        <f t="shared" si="3"/>
        <v>13</v>
      </c>
      <c r="I85" s="5">
        <f t="shared" si="4"/>
        <v>2</v>
      </c>
      <c r="J85" s="2" t="s">
        <v>31</v>
      </c>
      <c r="K85" s="2" t="s">
        <v>587</v>
      </c>
      <c r="M85" t="s">
        <v>254</v>
      </c>
      <c r="AD85" s="33" t="str">
        <f t="shared" si="5"/>
        <v>Tuesday</v>
      </c>
    </row>
    <row r="86" spans="1:30" x14ac:dyDescent="0.2">
      <c r="A86" s="23">
        <v>39537</v>
      </c>
      <c r="B86" s="2" t="s">
        <v>36</v>
      </c>
      <c r="C86" t="s">
        <v>251</v>
      </c>
      <c r="D86" t="s">
        <v>207</v>
      </c>
      <c r="E86" s="2">
        <v>45680</v>
      </c>
      <c r="F86" s="2" cm="1">
        <f t="array" ref="F86">_xlfn.IFS(B86="Owner Surrender",E86,B86="Stray",E86+6,B86="Stray w/identification",E86+11,B86="Bite",E86+10,B86="Other",E86+30,B86="BAS",E86+56,B86="Seized",E86)</f>
        <v>45680</v>
      </c>
      <c r="G86" s="2">
        <v>45685</v>
      </c>
      <c r="H86" s="5">
        <f t="shared" si="3"/>
        <v>5</v>
      </c>
      <c r="I86" s="5">
        <f t="shared" si="4"/>
        <v>5</v>
      </c>
      <c r="J86" s="2" t="s">
        <v>31</v>
      </c>
      <c r="K86" s="2" t="s">
        <v>587</v>
      </c>
      <c r="L86" t="s">
        <v>252</v>
      </c>
      <c r="AD86" s="33" t="str">
        <f t="shared" si="5"/>
        <v>Tuesday</v>
      </c>
    </row>
    <row r="87" spans="1:30" x14ac:dyDescent="0.2">
      <c r="A87" s="23">
        <v>39540</v>
      </c>
      <c r="B87" s="2" t="s">
        <v>36</v>
      </c>
      <c r="C87" t="s">
        <v>49</v>
      </c>
      <c r="D87" t="s">
        <v>207</v>
      </c>
      <c r="E87" s="2">
        <v>45681</v>
      </c>
      <c r="F87" s="2" cm="1">
        <f t="array" ref="F87">_xlfn.IFS(B87="Owner Surrender",E87,B87="Stray",E87+6,B87="Stray w/identification",E87+11,B87="Bite",E87+10,B87="Other",E87+30,B87="BAS",E87+56,B87="Seized",E87)</f>
        <v>45681</v>
      </c>
      <c r="G87" s="2">
        <v>45701</v>
      </c>
      <c r="H87" s="5">
        <f t="shared" si="3"/>
        <v>20</v>
      </c>
      <c r="I87" s="5">
        <f t="shared" si="4"/>
        <v>20</v>
      </c>
      <c r="J87" s="2" t="s">
        <v>18</v>
      </c>
      <c r="K87" s="2" t="s">
        <v>586</v>
      </c>
      <c r="L87" t="s">
        <v>426</v>
      </c>
      <c r="AD87" s="33" t="str">
        <f t="shared" si="5"/>
        <v>Thursday</v>
      </c>
    </row>
    <row r="88" spans="1:30" x14ac:dyDescent="0.2">
      <c r="A88" s="23">
        <v>39541</v>
      </c>
      <c r="B88" s="2" t="s">
        <v>36</v>
      </c>
      <c r="C88" t="s">
        <v>108</v>
      </c>
      <c r="D88" t="s">
        <v>208</v>
      </c>
      <c r="E88" s="2">
        <v>45681</v>
      </c>
      <c r="F88" s="2" cm="1">
        <f t="array" ref="F88">_xlfn.IFS(B88="Owner Surrender",E88,B88="Stray",E88+6,B88="Stray w/identification",E88+11,B88="Bite",E88+10,B88="Other",E88+30,B88="BAS",E88+56,B88="Seized",E88)</f>
        <v>45681</v>
      </c>
      <c r="G88" s="2">
        <v>45685</v>
      </c>
      <c r="H88" s="5">
        <f t="shared" si="3"/>
        <v>4</v>
      </c>
      <c r="I88" s="5">
        <f t="shared" si="4"/>
        <v>4</v>
      </c>
      <c r="J88" s="2" t="s">
        <v>11</v>
      </c>
      <c r="K88" s="2" t="s">
        <v>586</v>
      </c>
      <c r="AD88" s="33" t="str">
        <f t="shared" si="5"/>
        <v>Tuesday</v>
      </c>
    </row>
    <row r="89" spans="1:30" x14ac:dyDescent="0.2">
      <c r="A89" s="23">
        <v>39542</v>
      </c>
      <c r="B89" s="2" t="s">
        <v>36</v>
      </c>
      <c r="C89" t="s">
        <v>108</v>
      </c>
      <c r="D89" t="s">
        <v>208</v>
      </c>
      <c r="E89" s="2">
        <v>45681</v>
      </c>
      <c r="F89" s="2" cm="1">
        <f t="array" ref="F89">_xlfn.IFS(B89="Owner Surrender",E89,B89="Stray",E89+6,B89="Stray w/identification",E89+11,B89="Bite",E89+10,B89="Other",E89+30,B89="BAS",E89+56,B89="Seized",E89)</f>
        <v>45681</v>
      </c>
      <c r="G89" s="2">
        <v>45701</v>
      </c>
      <c r="H89" s="5">
        <f t="shared" si="3"/>
        <v>20</v>
      </c>
      <c r="I89" s="5">
        <f t="shared" si="4"/>
        <v>20</v>
      </c>
      <c r="J89" s="2" t="s">
        <v>11</v>
      </c>
      <c r="K89" s="2" t="s">
        <v>586</v>
      </c>
      <c r="L89" t="s">
        <v>240</v>
      </c>
      <c r="AD89" s="33" t="str">
        <f t="shared" si="5"/>
        <v>Thursday</v>
      </c>
    </row>
    <row r="90" spans="1:30" x14ac:dyDescent="0.2">
      <c r="A90" s="23">
        <v>39543</v>
      </c>
      <c r="B90" s="2" t="s">
        <v>38</v>
      </c>
      <c r="C90" t="s">
        <v>49</v>
      </c>
      <c r="D90" t="s">
        <v>208</v>
      </c>
      <c r="E90" s="2">
        <v>45681</v>
      </c>
      <c r="F90" s="2" cm="1">
        <f t="array" ref="F90">_xlfn.IFS(B90="Owner Surrender",E90,B90="Stray",E90+6,B90="Stray w/identification",E90+11,B90="Bite",E90+10,B90="Other",E90+30,B90="BAS",E90+56,B90="Seized",E90)</f>
        <v>45687</v>
      </c>
      <c r="G90" s="2">
        <v>45702</v>
      </c>
      <c r="H90" s="5">
        <f t="shared" si="3"/>
        <v>21</v>
      </c>
      <c r="I90" s="5">
        <f t="shared" si="4"/>
        <v>15</v>
      </c>
      <c r="J90" s="2" t="s">
        <v>11</v>
      </c>
      <c r="K90" s="2" t="s">
        <v>586</v>
      </c>
      <c r="L90" t="s">
        <v>239</v>
      </c>
      <c r="AD90" s="33" t="str">
        <f t="shared" si="5"/>
        <v>Friday</v>
      </c>
    </row>
    <row r="91" spans="1:30" x14ac:dyDescent="0.2">
      <c r="A91" s="23">
        <v>39544</v>
      </c>
      <c r="B91" s="2" t="s">
        <v>38</v>
      </c>
      <c r="C91" t="s">
        <v>235</v>
      </c>
      <c r="D91" t="s">
        <v>207</v>
      </c>
      <c r="E91" s="2">
        <v>45682</v>
      </c>
      <c r="F91" s="2" cm="1">
        <f t="array" ref="F91">_xlfn.IFS(B91="Owner Surrender",E91,B91="Stray",E91+6,B91="Stray w/identification",E91+11,B91="Bite",E91+10,B91="Other",E91+30,B91="BAS",E91+56,B91="Seized",E91)</f>
        <v>45688</v>
      </c>
      <c r="G91" s="2">
        <v>45692</v>
      </c>
      <c r="H91" s="5">
        <f t="shared" si="3"/>
        <v>10</v>
      </c>
      <c r="I91" s="5">
        <f t="shared" si="4"/>
        <v>4</v>
      </c>
      <c r="J91" s="2" t="s">
        <v>11</v>
      </c>
      <c r="K91" s="2" t="s">
        <v>586</v>
      </c>
      <c r="AD91" s="33" t="str">
        <f t="shared" si="5"/>
        <v>Tuesday</v>
      </c>
    </row>
    <row r="92" spans="1:30" x14ac:dyDescent="0.2">
      <c r="A92" s="23">
        <v>39545</v>
      </c>
      <c r="B92" s="2" t="s">
        <v>36</v>
      </c>
      <c r="C92" t="s">
        <v>246</v>
      </c>
      <c r="D92" t="s">
        <v>207</v>
      </c>
      <c r="E92" s="2">
        <v>45682</v>
      </c>
      <c r="F92" s="2" cm="1">
        <f t="array" ref="F92">_xlfn.IFS(B92="Owner Surrender",E92,B92="Stray",E92+6,B92="Stray w/identification",E92+11,B92="Bite",E92+10,B92="Other",E92+30,B92="BAS",E92+56,B92="Seized",E92)</f>
        <v>45682</v>
      </c>
      <c r="G92" s="2">
        <v>45685</v>
      </c>
      <c r="H92" s="5">
        <f t="shared" si="3"/>
        <v>3</v>
      </c>
      <c r="I92" s="5">
        <f t="shared" si="4"/>
        <v>3</v>
      </c>
      <c r="J92" s="2" t="s">
        <v>31</v>
      </c>
      <c r="K92" s="2" t="s">
        <v>587</v>
      </c>
      <c r="L92" t="s">
        <v>250</v>
      </c>
      <c r="AD92" s="33" t="str">
        <f t="shared" si="5"/>
        <v>Tuesday</v>
      </c>
    </row>
    <row r="93" spans="1:30" x14ac:dyDescent="0.2">
      <c r="A93" s="23">
        <v>39546</v>
      </c>
      <c r="B93" s="2" t="s">
        <v>179</v>
      </c>
      <c r="C93" t="s">
        <v>249</v>
      </c>
      <c r="D93" t="s">
        <v>207</v>
      </c>
      <c r="E93" s="2">
        <v>45682</v>
      </c>
      <c r="F93" s="2" cm="1">
        <f t="array" ref="F93">_xlfn.IFS(B93="Owner Surrender",E93,B93="Stray",E93+6,B93="Stray w/identification",E93+11,B93="Bite",E93+10,B93="Other",E93+30,B93="BAS",E93+56,B93="Seized",E93)</f>
        <v>45693</v>
      </c>
      <c r="G93" s="2">
        <v>45723</v>
      </c>
      <c r="H93" s="5">
        <f t="shared" si="3"/>
        <v>41</v>
      </c>
      <c r="I93" s="5">
        <f t="shared" si="4"/>
        <v>30</v>
      </c>
      <c r="J93" s="2" t="s">
        <v>31</v>
      </c>
      <c r="K93" s="2" t="s">
        <v>587</v>
      </c>
      <c r="AD93" s="33" t="str">
        <f t="shared" si="5"/>
        <v>Friday</v>
      </c>
    </row>
    <row r="94" spans="1:30" x14ac:dyDescent="0.2">
      <c r="A94" s="23">
        <v>39547</v>
      </c>
      <c r="B94" s="2" t="s">
        <v>38</v>
      </c>
      <c r="C94" t="s">
        <v>249</v>
      </c>
      <c r="D94" t="s">
        <v>207</v>
      </c>
      <c r="E94" s="2">
        <v>45682</v>
      </c>
      <c r="F94" s="2" cm="1">
        <f t="array" ref="F94">_xlfn.IFS(B94="Owner Surrender",E94,B94="Stray",E94+6,B94="Stray w/identification",E94+11,B94="Bite",E94+10,B94="Other",E94+30,B94="BAS",E94+56,B94="Seized",E94)</f>
        <v>45688</v>
      </c>
      <c r="G94" s="2">
        <v>45699</v>
      </c>
      <c r="H94" s="5">
        <f t="shared" si="3"/>
        <v>17</v>
      </c>
      <c r="I94" s="5">
        <f t="shared" si="4"/>
        <v>11</v>
      </c>
      <c r="J94" s="2" t="s">
        <v>31</v>
      </c>
      <c r="K94" s="2" t="s">
        <v>587</v>
      </c>
      <c r="AD94" s="33" t="str">
        <f t="shared" si="5"/>
        <v>Tuesday</v>
      </c>
    </row>
    <row r="95" spans="1:30" x14ac:dyDescent="0.2">
      <c r="A95" s="23">
        <v>39548</v>
      </c>
      <c r="B95" s="2" t="s">
        <v>36</v>
      </c>
      <c r="C95" t="s">
        <v>148</v>
      </c>
      <c r="D95" t="s">
        <v>208</v>
      </c>
      <c r="E95" s="2">
        <v>45682</v>
      </c>
      <c r="F95" s="2" cm="1">
        <f t="array" ref="F95">_xlfn.IFS(B95="Owner Surrender",E95,B95="Stray",E95+6,B95="Stray w/identification",E95+11,B95="Bite",E95+10,B95="Other",E95+30,B95="BAS",E95+56,B95="Seized",E95)</f>
        <v>45682</v>
      </c>
      <c r="G95" s="2">
        <v>45733</v>
      </c>
      <c r="H95" s="5">
        <f t="shared" si="3"/>
        <v>51</v>
      </c>
      <c r="I95" s="5">
        <f t="shared" si="4"/>
        <v>51</v>
      </c>
      <c r="J95" s="2" t="s">
        <v>18</v>
      </c>
      <c r="K95" s="2" t="s">
        <v>586</v>
      </c>
      <c r="L95" t="s">
        <v>496</v>
      </c>
      <c r="AD95" s="33" t="str">
        <f t="shared" si="5"/>
        <v>Monday</v>
      </c>
    </row>
    <row r="96" spans="1:30" x14ac:dyDescent="0.2">
      <c r="A96" s="23">
        <v>39549</v>
      </c>
      <c r="B96" s="2" t="s">
        <v>36</v>
      </c>
      <c r="C96" t="s">
        <v>148</v>
      </c>
      <c r="D96" t="s">
        <v>208</v>
      </c>
      <c r="E96" s="2">
        <v>45682</v>
      </c>
      <c r="F96" s="2" cm="1">
        <f t="array" ref="F96">_xlfn.IFS(B96="Owner Surrender",E96,B96="Stray",E96+6,B96="Stray w/identification",E96+11,B96="Bite",E96+10,B96="Other",E96+30,B96="BAS",E96+56,B96="Seized",E96)</f>
        <v>45682</v>
      </c>
      <c r="G96" s="2">
        <v>45702</v>
      </c>
      <c r="H96" s="5">
        <f t="shared" si="3"/>
        <v>20</v>
      </c>
      <c r="I96" s="5">
        <f t="shared" si="4"/>
        <v>20</v>
      </c>
      <c r="J96" s="2" t="s">
        <v>31</v>
      </c>
      <c r="K96" s="2" t="s">
        <v>587</v>
      </c>
      <c r="AD96" s="33" t="str">
        <f t="shared" si="5"/>
        <v>Friday</v>
      </c>
    </row>
    <row r="97" spans="1:30" x14ac:dyDescent="0.2">
      <c r="A97" s="23">
        <v>39550</v>
      </c>
      <c r="B97" s="2" t="s">
        <v>36</v>
      </c>
      <c r="C97" t="s">
        <v>148</v>
      </c>
      <c r="D97" t="s">
        <v>208</v>
      </c>
      <c r="E97" s="2">
        <v>45682</v>
      </c>
      <c r="F97" s="2" cm="1">
        <f t="array" ref="F97">_xlfn.IFS(B97="Owner Surrender",E97,B97="Stray",E97+6,B97="Stray w/identification",E97+11,B97="Bite",E97+10,B97="Other",E97+30,B97="BAS",E97+56,B97="Seized",E97)</f>
        <v>45682</v>
      </c>
      <c r="G97" s="2">
        <v>45692</v>
      </c>
      <c r="H97" s="5">
        <f t="shared" si="3"/>
        <v>10</v>
      </c>
      <c r="I97" s="5">
        <f t="shared" si="4"/>
        <v>10</v>
      </c>
      <c r="J97" s="2" t="s">
        <v>11</v>
      </c>
      <c r="K97" s="2" t="s">
        <v>586</v>
      </c>
      <c r="AD97" s="33" t="str">
        <f t="shared" si="5"/>
        <v>Tuesday</v>
      </c>
    </row>
    <row r="98" spans="1:30" x14ac:dyDescent="0.2">
      <c r="A98" s="23">
        <v>39551</v>
      </c>
      <c r="B98" s="2" t="s">
        <v>36</v>
      </c>
      <c r="C98" t="s">
        <v>148</v>
      </c>
      <c r="D98" t="s">
        <v>208</v>
      </c>
      <c r="E98" s="2">
        <v>45682</v>
      </c>
      <c r="F98" s="2" cm="1">
        <f t="array" ref="F98">_xlfn.IFS(B98="Owner Surrender",E98,B98="Stray",E98+6,B98="Stray w/identification",E98+11,B98="Bite",E98+10,B98="Other",E98+30,B98="BAS",E98+56,B98="Seized",E98)</f>
        <v>45682</v>
      </c>
      <c r="G98" s="2">
        <v>45712</v>
      </c>
      <c r="H98" s="5">
        <f t="shared" si="3"/>
        <v>30</v>
      </c>
      <c r="I98" s="5">
        <f t="shared" si="4"/>
        <v>30</v>
      </c>
      <c r="J98" s="2" t="s">
        <v>31</v>
      </c>
      <c r="K98" s="2" t="s">
        <v>587</v>
      </c>
      <c r="AD98" s="33" t="str">
        <f t="shared" si="5"/>
        <v>Monday</v>
      </c>
    </row>
    <row r="99" spans="1:30" x14ac:dyDescent="0.2">
      <c r="A99" s="23">
        <v>39552</v>
      </c>
      <c r="B99" s="2" t="s">
        <v>36</v>
      </c>
      <c r="C99" t="s">
        <v>148</v>
      </c>
      <c r="D99" t="s">
        <v>208</v>
      </c>
      <c r="E99" s="2">
        <v>45682</v>
      </c>
      <c r="F99" s="2" cm="1">
        <f t="array" ref="F99">_xlfn.IFS(B99="Owner Surrender",E99,B99="Stray",E99+6,B99="Stray w/identification",E99+11,B99="Bite",E99+10,B99="Other",E99+30,B99="BAS",E99+56,B99="Seized",E99)</f>
        <v>45682</v>
      </c>
      <c r="G99" s="2">
        <v>45733</v>
      </c>
      <c r="H99" s="5">
        <f t="shared" si="3"/>
        <v>51</v>
      </c>
      <c r="I99" s="5">
        <f t="shared" si="4"/>
        <v>51</v>
      </c>
      <c r="J99" s="2" t="s">
        <v>18</v>
      </c>
      <c r="K99" s="2" t="s">
        <v>586</v>
      </c>
      <c r="L99" t="s">
        <v>506</v>
      </c>
      <c r="AD99" s="33" t="str">
        <f t="shared" si="5"/>
        <v>Monday</v>
      </c>
    </row>
    <row r="100" spans="1:30" x14ac:dyDescent="0.2">
      <c r="A100" s="23">
        <v>39553</v>
      </c>
      <c r="B100" s="2" t="s">
        <v>38</v>
      </c>
      <c r="C100" t="s">
        <v>72</v>
      </c>
      <c r="D100" t="s">
        <v>208</v>
      </c>
      <c r="E100" s="2">
        <v>45683</v>
      </c>
      <c r="F100" s="2" cm="1">
        <f t="array" ref="F100">_xlfn.IFS(B100="Owner Surrender",E100,B100="Stray",E100+6,B100="Stray w/identification",E100+11,B100="Bite",E100+10,B100="Other",E100+30,B100="BAS",E100+56,B100="Seized",E100)</f>
        <v>45689</v>
      </c>
      <c r="G100" s="2">
        <v>45692</v>
      </c>
      <c r="H100" s="5">
        <f t="shared" si="3"/>
        <v>9</v>
      </c>
      <c r="I100" s="5">
        <f t="shared" si="4"/>
        <v>3</v>
      </c>
      <c r="J100" s="2" t="s">
        <v>11</v>
      </c>
      <c r="K100" s="2" t="s">
        <v>586</v>
      </c>
      <c r="L100" s="2"/>
      <c r="AD100" s="33" t="str">
        <f t="shared" si="5"/>
        <v>Tuesday</v>
      </c>
    </row>
    <row r="101" spans="1:30" x14ac:dyDescent="0.2">
      <c r="A101" s="23">
        <v>39554</v>
      </c>
      <c r="B101" s="2" t="s">
        <v>38</v>
      </c>
      <c r="C101" t="s">
        <v>49</v>
      </c>
      <c r="D101" t="s">
        <v>207</v>
      </c>
      <c r="E101" s="2">
        <v>45684</v>
      </c>
      <c r="F101" s="2" cm="1">
        <f t="array" ref="F101">_xlfn.IFS(B101="Owner Surrender",E101,B101="Stray",E101+6,B101="Stray w/identification",E101+11,B101="Bite",E101+10,B101="Other",E101+30,B101="BAS",E101+56,B101="Seized",E101)</f>
        <v>45690</v>
      </c>
      <c r="G101" s="2">
        <v>45692</v>
      </c>
      <c r="H101" s="5">
        <f t="shared" si="3"/>
        <v>8</v>
      </c>
      <c r="I101" s="5">
        <f t="shared" si="4"/>
        <v>2</v>
      </c>
      <c r="J101" s="2" t="s">
        <v>31</v>
      </c>
      <c r="K101" s="2" t="s">
        <v>587</v>
      </c>
      <c r="AD101" s="33" t="str">
        <f t="shared" si="5"/>
        <v>Tuesday</v>
      </c>
    </row>
    <row r="102" spans="1:30" x14ac:dyDescent="0.2">
      <c r="A102" s="23">
        <v>39555</v>
      </c>
      <c r="B102" s="2" t="s">
        <v>38</v>
      </c>
      <c r="C102" t="s">
        <v>72</v>
      </c>
      <c r="D102" t="s">
        <v>208</v>
      </c>
      <c r="E102" s="2">
        <v>45683</v>
      </c>
      <c r="F102" s="2" cm="1">
        <f t="array" ref="F102">_xlfn.IFS(B102="Owner Surrender",E102,B102="Stray",E102+6,B102="Stray w/identification",E102+11,B102="Bite",E102+10,B102="Other",E102+30,B102="BAS",E102+56,B102="Seized",E102)</f>
        <v>45689</v>
      </c>
      <c r="G102" s="2">
        <v>45714</v>
      </c>
      <c r="H102" s="5">
        <f t="shared" si="3"/>
        <v>31</v>
      </c>
      <c r="I102" s="5">
        <f t="shared" si="4"/>
        <v>25</v>
      </c>
      <c r="J102" s="2" t="s">
        <v>31</v>
      </c>
      <c r="K102" s="2" t="s">
        <v>587</v>
      </c>
      <c r="L102" t="s">
        <v>282</v>
      </c>
      <c r="AD102" s="33" t="str">
        <f t="shared" si="5"/>
        <v>Wednesday</v>
      </c>
    </row>
    <row r="103" spans="1:30" x14ac:dyDescent="0.2">
      <c r="A103" s="23">
        <v>39557</v>
      </c>
      <c r="B103" s="2" t="s">
        <v>36</v>
      </c>
      <c r="C103" t="s">
        <v>75</v>
      </c>
      <c r="D103" t="s">
        <v>207</v>
      </c>
      <c r="E103" s="2">
        <v>45684</v>
      </c>
      <c r="F103" s="2" cm="1">
        <f t="array" ref="F103">_xlfn.IFS(B103="Owner Surrender",E103,B103="Stray",E103+6,B103="Stray w/identification",E103+11,B103="Bite",E103+10,B103="Other",E103+30,B103="BAS",E103+56,B103="Seized",E103)</f>
        <v>45684</v>
      </c>
      <c r="G103" s="2">
        <v>45686</v>
      </c>
      <c r="H103" s="5">
        <f t="shared" si="3"/>
        <v>2</v>
      </c>
      <c r="I103" s="5">
        <f t="shared" si="4"/>
        <v>2</v>
      </c>
      <c r="J103" s="2" t="s">
        <v>31</v>
      </c>
      <c r="K103" s="2" t="s">
        <v>587</v>
      </c>
      <c r="L103" t="s">
        <v>248</v>
      </c>
      <c r="AD103" s="33" t="str">
        <f t="shared" si="5"/>
        <v>Wednesday</v>
      </c>
    </row>
    <row r="104" spans="1:30" x14ac:dyDescent="0.2">
      <c r="A104" s="23">
        <v>39558</v>
      </c>
      <c r="B104" s="2" t="s">
        <v>36</v>
      </c>
      <c r="C104" t="s">
        <v>246</v>
      </c>
      <c r="D104" t="s">
        <v>207</v>
      </c>
      <c r="E104" s="2">
        <v>45684</v>
      </c>
      <c r="F104" s="2" cm="1">
        <f t="array" ref="F104">_xlfn.IFS(B104="Owner Surrender",E104,B104="Stray",E104+6,B104="Stray w/identification",E104+11,B104="Bite",E104+10,B104="Other",E104+30,B104="BAS",E104+56,B104="Seized",E104)</f>
        <v>45684</v>
      </c>
      <c r="G104" s="2">
        <v>45684</v>
      </c>
      <c r="H104" s="5">
        <f t="shared" si="3"/>
        <v>0</v>
      </c>
      <c r="I104" s="5">
        <f t="shared" si="4"/>
        <v>0</v>
      </c>
      <c r="J104" s="2" t="s">
        <v>31</v>
      </c>
      <c r="K104" s="2" t="s">
        <v>589</v>
      </c>
      <c r="M104" t="s">
        <v>247</v>
      </c>
      <c r="AD104" s="33" t="str">
        <f t="shared" si="5"/>
        <v>Monday</v>
      </c>
    </row>
    <row r="105" spans="1:30" x14ac:dyDescent="0.2">
      <c r="A105" s="23">
        <v>39560</v>
      </c>
      <c r="B105" s="2" t="s">
        <v>60</v>
      </c>
      <c r="C105" t="s">
        <v>427</v>
      </c>
      <c r="D105" t="s">
        <v>207</v>
      </c>
      <c r="E105" s="2">
        <v>45684</v>
      </c>
      <c r="F105" s="2" cm="1">
        <f t="array" ref="F105">_xlfn.IFS(B105="Owner Surrender",E105,B105="Stray",E105+6,B105="Stray w/identification",E105+11,B105="Bite",E105+10,B105="Other",E105+30,B105="BAS",E105+56,B105="Seized",E105)</f>
        <v>45714</v>
      </c>
      <c r="G105" s="2">
        <v>45691</v>
      </c>
      <c r="H105" s="5">
        <f t="shared" si="3"/>
        <v>7</v>
      </c>
      <c r="I105" s="5">
        <f t="shared" si="4"/>
        <v>-23</v>
      </c>
      <c r="J105" s="2" t="s">
        <v>8</v>
      </c>
      <c r="K105" s="2" t="s">
        <v>586</v>
      </c>
      <c r="AD105" s="33" t="str">
        <f t="shared" si="5"/>
        <v>Monday</v>
      </c>
    </row>
    <row r="106" spans="1:30" x14ac:dyDescent="0.2">
      <c r="A106" s="23">
        <v>39561</v>
      </c>
      <c r="B106" s="2" t="s">
        <v>36</v>
      </c>
      <c r="C106" t="s">
        <v>95</v>
      </c>
      <c r="D106" t="s">
        <v>207</v>
      </c>
      <c r="E106" s="2">
        <v>45685</v>
      </c>
      <c r="F106" s="2" cm="1">
        <f t="array" ref="F106">_xlfn.IFS(B106="Owner Surrender",E106,B106="Stray",E106+6,B106="Stray w/identification",E106+11,B106="Bite",E106+10,B106="Other",E106+30,B106="BAS",E106+56,B106="Seized",E106)</f>
        <v>45685</v>
      </c>
      <c r="G106" s="2">
        <v>45692</v>
      </c>
      <c r="H106" s="5">
        <f t="shared" si="3"/>
        <v>7</v>
      </c>
      <c r="I106" s="5">
        <f t="shared" si="4"/>
        <v>7</v>
      </c>
      <c r="J106" s="2" t="s">
        <v>11</v>
      </c>
      <c r="K106" s="2" t="s">
        <v>586</v>
      </c>
      <c r="L106" t="s">
        <v>236</v>
      </c>
      <c r="AD106" s="33" t="str">
        <f t="shared" si="5"/>
        <v>Tuesday</v>
      </c>
    </row>
    <row r="107" spans="1:30" x14ac:dyDescent="0.2">
      <c r="A107" s="23">
        <v>39562</v>
      </c>
      <c r="B107" s="2" t="s">
        <v>36</v>
      </c>
      <c r="C107" t="s">
        <v>148</v>
      </c>
      <c r="D107" t="s">
        <v>208</v>
      </c>
      <c r="E107" s="2">
        <v>45685</v>
      </c>
      <c r="F107" s="2" cm="1">
        <f t="array" ref="F107">_xlfn.IFS(B107="Owner Surrender",E107,B107="Stray",E107+6,B107="Stray w/identification",E107+11,B107="Bite",E107+10,B107="Other",E107+30,B107="BAS",E107+56,B107="Seized",E107)</f>
        <v>45685</v>
      </c>
      <c r="G107" s="2">
        <v>45686</v>
      </c>
      <c r="H107" s="5">
        <f t="shared" si="3"/>
        <v>1</v>
      </c>
      <c r="I107" s="5">
        <f t="shared" si="4"/>
        <v>1</v>
      </c>
      <c r="J107" s="2" t="s">
        <v>31</v>
      </c>
      <c r="K107" s="2" t="s">
        <v>587</v>
      </c>
      <c r="AD107" s="33" t="str">
        <f t="shared" si="5"/>
        <v>Wednesday</v>
      </c>
    </row>
    <row r="108" spans="1:30" x14ac:dyDescent="0.2">
      <c r="A108" s="23">
        <v>39563</v>
      </c>
      <c r="B108" s="2" t="s">
        <v>36</v>
      </c>
      <c r="C108" t="s">
        <v>148</v>
      </c>
      <c r="D108" t="s">
        <v>208</v>
      </c>
      <c r="E108" s="2">
        <v>45685</v>
      </c>
      <c r="F108" s="2" cm="1">
        <f t="array" ref="F108">_xlfn.IFS(B108="Owner Surrender",E108,B108="Stray",E108+6,B108="Stray w/identification",E108+11,B108="Bite",E108+10,B108="Other",E108+30,B108="BAS",E108+56,B108="Seized",E108)</f>
        <v>45685</v>
      </c>
      <c r="G108" s="2">
        <v>45686</v>
      </c>
      <c r="H108" s="5">
        <f t="shared" si="3"/>
        <v>1</v>
      </c>
      <c r="I108" s="5">
        <f t="shared" si="4"/>
        <v>1</v>
      </c>
      <c r="J108" s="2" t="s">
        <v>31</v>
      </c>
      <c r="K108" s="2" t="s">
        <v>587</v>
      </c>
      <c r="AD108" s="33" t="str">
        <f t="shared" si="5"/>
        <v>Wednesday</v>
      </c>
    </row>
    <row r="109" spans="1:30" x14ac:dyDescent="0.2">
      <c r="A109" s="23">
        <v>39567</v>
      </c>
      <c r="B109" s="2" t="s">
        <v>52</v>
      </c>
      <c r="C109" t="s">
        <v>108</v>
      </c>
      <c r="D109" t="s">
        <v>207</v>
      </c>
      <c r="E109" s="2">
        <v>45686</v>
      </c>
      <c r="F109" s="2" cm="1">
        <f t="array" ref="F109">_xlfn.IFS(B109="Owner Surrender",E109,B109="Stray",E109+6,B109="Stray w/identification",E109+11,B109="Bite",E109+10,B109="Other",E109+30,B109="BAS",E109+56,B109="Seized",E109)</f>
        <v>45686</v>
      </c>
      <c r="G109" s="2">
        <v>45791</v>
      </c>
      <c r="H109" s="5">
        <f t="shared" si="3"/>
        <v>105</v>
      </c>
      <c r="I109" s="5">
        <f t="shared" si="4"/>
        <v>105</v>
      </c>
      <c r="J109" s="2" t="s">
        <v>18</v>
      </c>
      <c r="K109" s="2" t="s">
        <v>586</v>
      </c>
      <c r="L109" t="s">
        <v>428</v>
      </c>
      <c r="M109" t="s">
        <v>429</v>
      </c>
      <c r="AD109" s="33" t="str">
        <f t="shared" si="5"/>
        <v>Wednesday</v>
      </c>
    </row>
    <row r="110" spans="1:30" x14ac:dyDescent="0.2">
      <c r="A110" s="23">
        <v>39568</v>
      </c>
      <c r="B110" s="2" t="s">
        <v>52</v>
      </c>
      <c r="C110" t="s">
        <v>55</v>
      </c>
      <c r="D110" t="s">
        <v>207</v>
      </c>
      <c r="E110" s="2">
        <v>45686</v>
      </c>
      <c r="F110" s="2" cm="1">
        <f t="array" ref="F110">_xlfn.IFS(B110="Owner Surrender",E110,B110="Stray",E110+6,B110="Stray w/identification",E110+11,B110="Bite",E110+10,B110="Other",E110+30,B110="BAS",E110+56,B110="Seized",E110)</f>
        <v>45686</v>
      </c>
      <c r="G110" s="2">
        <v>45807</v>
      </c>
      <c r="H110" s="5">
        <f t="shared" si="3"/>
        <v>121</v>
      </c>
      <c r="I110" s="5">
        <f t="shared" si="4"/>
        <v>121</v>
      </c>
      <c r="J110" s="2" t="s">
        <v>31</v>
      </c>
      <c r="K110" s="2" t="s">
        <v>587</v>
      </c>
      <c r="L110" s="2"/>
      <c r="AD110" s="33" t="str">
        <f t="shared" si="5"/>
        <v>Friday</v>
      </c>
    </row>
    <row r="111" spans="1:30" x14ac:dyDescent="0.2">
      <c r="A111" s="23">
        <v>39569</v>
      </c>
      <c r="B111" s="2" t="s">
        <v>52</v>
      </c>
      <c r="C111" t="s">
        <v>55</v>
      </c>
      <c r="D111" t="s">
        <v>207</v>
      </c>
      <c r="E111" s="2">
        <v>45686</v>
      </c>
      <c r="F111" s="2" cm="1">
        <f t="array" ref="F111">_xlfn.IFS(B111="Owner Surrender",E111,B111="Stray",E111+6,B111="Stray w/identification",E111+11,B111="Bite",E111+10,B111="Other",E111+30,B111="BAS",E111+56,B111="Seized",E111)</f>
        <v>45686</v>
      </c>
      <c r="G111" s="2">
        <v>45826</v>
      </c>
      <c r="H111" s="5">
        <f t="shared" si="3"/>
        <v>140</v>
      </c>
      <c r="I111" s="5">
        <f t="shared" si="4"/>
        <v>140</v>
      </c>
      <c r="J111" s="2" t="s">
        <v>31</v>
      </c>
      <c r="K111" s="2" t="s">
        <v>587</v>
      </c>
      <c r="L111" s="2" t="s">
        <v>430</v>
      </c>
      <c r="M111" t="s">
        <v>429</v>
      </c>
      <c r="AD111" s="33" t="str">
        <f t="shared" si="5"/>
        <v>Wednesday</v>
      </c>
    </row>
    <row r="112" spans="1:30" x14ac:dyDescent="0.2">
      <c r="A112" s="23">
        <v>39570</v>
      </c>
      <c r="B112" s="2" t="s">
        <v>52</v>
      </c>
      <c r="C112" t="s">
        <v>95</v>
      </c>
      <c r="D112" t="s">
        <v>207</v>
      </c>
      <c r="E112" s="2">
        <v>45686</v>
      </c>
      <c r="F112" s="2" cm="1">
        <f t="array" ref="F112">_xlfn.IFS(B112="Owner Surrender",E112,B112="Stray",E112+6,B112="Stray w/identification",E112+11,B112="Bite",E112+10,B112="Other",E112+30,B112="BAS",E112+56,B112="Seized",E112)</f>
        <v>45686</v>
      </c>
      <c r="G112" s="2">
        <v>45730</v>
      </c>
      <c r="H112" s="5">
        <f t="shared" si="3"/>
        <v>44</v>
      </c>
      <c r="I112" s="5">
        <f t="shared" si="4"/>
        <v>44</v>
      </c>
      <c r="J112" s="2" t="s">
        <v>18</v>
      </c>
      <c r="K112" s="2" t="s">
        <v>586</v>
      </c>
      <c r="L112" s="2" t="s">
        <v>431</v>
      </c>
      <c r="M112" t="s">
        <v>429</v>
      </c>
      <c r="AD112" s="33" t="str">
        <f t="shared" si="5"/>
        <v>Friday</v>
      </c>
    </row>
    <row r="113" spans="1:30" x14ac:dyDescent="0.2">
      <c r="A113" s="23">
        <v>39571</v>
      </c>
      <c r="B113" s="2" t="s">
        <v>36</v>
      </c>
      <c r="C113" t="s">
        <v>148</v>
      </c>
      <c r="D113" t="s">
        <v>208</v>
      </c>
      <c r="E113" s="2">
        <v>45686</v>
      </c>
      <c r="F113" s="2" cm="1">
        <f t="array" ref="F113">_xlfn.IFS(B113="Owner Surrender",E113,B113="Stray",E113+6,B113="Stray w/identification",E113+11,B113="Bite",E113+10,B113="Other",E113+30,B113="BAS",E113+56,B113="Seized",E113)</f>
        <v>45686</v>
      </c>
      <c r="G113" s="2">
        <v>45692</v>
      </c>
      <c r="H113" s="5">
        <f t="shared" si="3"/>
        <v>6</v>
      </c>
      <c r="I113" s="5">
        <f t="shared" si="4"/>
        <v>6</v>
      </c>
      <c r="J113" s="2" t="s">
        <v>31</v>
      </c>
      <c r="K113" s="2" t="s">
        <v>587</v>
      </c>
      <c r="AD113" s="33" t="str">
        <f t="shared" si="5"/>
        <v>Tuesday</v>
      </c>
    </row>
    <row r="114" spans="1:30" x14ac:dyDescent="0.2">
      <c r="A114" s="23">
        <v>39572</v>
      </c>
      <c r="B114" s="2" t="s">
        <v>36</v>
      </c>
      <c r="C114" t="s">
        <v>148</v>
      </c>
      <c r="D114" t="s">
        <v>208</v>
      </c>
      <c r="E114" s="2">
        <v>45686</v>
      </c>
      <c r="F114" s="2" cm="1">
        <f t="array" ref="F114">_xlfn.IFS(B114="Owner Surrender",E114,B114="Stray",E114+6,B114="Stray w/identification",E114+11,B114="Bite",E114+10,B114="Other",E114+30,B114="BAS",E114+56,B114="Seized",E114)</f>
        <v>45686</v>
      </c>
      <c r="G114" s="2">
        <v>45692</v>
      </c>
      <c r="H114" s="5">
        <f t="shared" si="3"/>
        <v>6</v>
      </c>
      <c r="I114" s="5">
        <f t="shared" si="4"/>
        <v>6</v>
      </c>
      <c r="J114" s="2" t="s">
        <v>31</v>
      </c>
      <c r="K114" s="2" t="s">
        <v>587</v>
      </c>
      <c r="AD114" s="33" t="str">
        <f t="shared" si="5"/>
        <v>Tuesday</v>
      </c>
    </row>
    <row r="115" spans="1:30" x14ac:dyDescent="0.2">
      <c r="A115" s="23">
        <v>39573</v>
      </c>
      <c r="B115" s="2" t="s">
        <v>36</v>
      </c>
      <c r="C115" t="s">
        <v>148</v>
      </c>
      <c r="D115" t="s">
        <v>208</v>
      </c>
      <c r="E115" s="2">
        <v>45686</v>
      </c>
      <c r="F115" s="2" cm="1">
        <f t="array" ref="F115">_xlfn.IFS(B115="Owner Surrender",E115,B115="Stray",E115+6,B115="Stray w/identification",E115+11,B115="Bite",E115+10,B115="Other",E115+30,B115="BAS",E115+56,B115="Seized",E115)</f>
        <v>45686</v>
      </c>
      <c r="G115" s="2">
        <v>45692</v>
      </c>
      <c r="H115" s="5">
        <f t="shared" si="3"/>
        <v>6</v>
      </c>
      <c r="I115" s="5">
        <f t="shared" si="4"/>
        <v>6</v>
      </c>
      <c r="J115" s="2" t="s">
        <v>31</v>
      </c>
      <c r="K115" s="2" t="s">
        <v>587</v>
      </c>
      <c r="AD115" s="33" t="str">
        <f t="shared" si="5"/>
        <v>Tuesday</v>
      </c>
    </row>
    <row r="116" spans="1:30" x14ac:dyDescent="0.2">
      <c r="A116" s="23">
        <v>39574</v>
      </c>
      <c r="B116" s="2" t="s">
        <v>36</v>
      </c>
      <c r="C116" t="s">
        <v>148</v>
      </c>
      <c r="D116" t="s">
        <v>208</v>
      </c>
      <c r="E116" s="2">
        <v>45686</v>
      </c>
      <c r="F116" s="2" cm="1">
        <f t="array" ref="F116">_xlfn.IFS(B116="Owner Surrender",E116,B116="Stray",E116+6,B116="Stray w/identification",E116+11,B116="Bite",E116+10,B116="Other",E116+30,B116="BAS",E116+56,B116="Seized",E116)</f>
        <v>45686</v>
      </c>
      <c r="G116" s="2">
        <v>45692</v>
      </c>
      <c r="H116" s="5">
        <f t="shared" si="3"/>
        <v>6</v>
      </c>
      <c r="I116" s="5">
        <f t="shared" si="4"/>
        <v>6</v>
      </c>
      <c r="J116" s="2" t="s">
        <v>31</v>
      </c>
      <c r="K116" s="2" t="s">
        <v>587</v>
      </c>
      <c r="AD116" s="33" t="str">
        <f t="shared" si="5"/>
        <v>Tuesday</v>
      </c>
    </row>
    <row r="117" spans="1:30" x14ac:dyDescent="0.2">
      <c r="A117" s="23">
        <v>39576</v>
      </c>
      <c r="B117" s="2" t="s">
        <v>38</v>
      </c>
      <c r="C117" t="s">
        <v>246</v>
      </c>
      <c r="D117" t="s">
        <v>207</v>
      </c>
      <c r="E117" s="2">
        <v>45684</v>
      </c>
      <c r="F117" s="2" cm="1">
        <f t="array" ref="F117">_xlfn.IFS(B117="Owner Surrender",E117,B117="Stray",E117+6,B117="Stray w/identification",E117+11,B117="Bite",E117+10,B117="Other",E117+30,B117="BAS",E117+56,B117="Seized",E117)</f>
        <v>45690</v>
      </c>
      <c r="G117" s="2">
        <v>45699</v>
      </c>
      <c r="H117" s="5">
        <f t="shared" si="3"/>
        <v>15</v>
      </c>
      <c r="I117" s="5">
        <f t="shared" si="4"/>
        <v>9</v>
      </c>
      <c r="J117" s="2" t="s">
        <v>31</v>
      </c>
      <c r="K117" s="2" t="s">
        <v>587</v>
      </c>
      <c r="L117" s="2"/>
      <c r="M117" s="2"/>
      <c r="AD117" s="33" t="str">
        <f t="shared" si="5"/>
        <v>Tuesday</v>
      </c>
    </row>
    <row r="118" spans="1:30" x14ac:dyDescent="0.2">
      <c r="A118" s="23">
        <v>39578</v>
      </c>
      <c r="B118" s="2" t="s">
        <v>38</v>
      </c>
      <c r="C118" t="s">
        <v>432</v>
      </c>
      <c r="D118" t="s">
        <v>207</v>
      </c>
      <c r="E118" s="2">
        <v>45688</v>
      </c>
      <c r="F118" s="2" cm="1">
        <f t="array" ref="F118">_xlfn.IFS(B118="Owner Surrender",E118,B118="Stray",E118+6,B118="Stray w/identification",E118+11,B118="Bite",E118+10,B118="Other",E118+30,B118="BAS",E118+56,B118="Seized",E118)</f>
        <v>45694</v>
      </c>
      <c r="G118" s="2">
        <v>45688</v>
      </c>
      <c r="H118" s="5">
        <f t="shared" si="3"/>
        <v>0</v>
      </c>
      <c r="I118" s="5">
        <f t="shared" si="4"/>
        <v>-6</v>
      </c>
      <c r="J118" s="2" t="s">
        <v>8</v>
      </c>
      <c r="K118" s="2" t="s">
        <v>586</v>
      </c>
      <c r="L118" s="2"/>
      <c r="M118" s="2"/>
      <c r="AD118" s="33" t="str">
        <f t="shared" si="5"/>
        <v>Friday</v>
      </c>
    </row>
    <row r="119" spans="1:30" x14ac:dyDescent="0.2">
      <c r="A119" s="23">
        <v>39579</v>
      </c>
      <c r="B119" s="2" t="s">
        <v>36</v>
      </c>
      <c r="C119" t="s">
        <v>433</v>
      </c>
      <c r="D119" t="s">
        <v>208</v>
      </c>
      <c r="E119" s="2">
        <v>45688</v>
      </c>
      <c r="F119" s="2" cm="1">
        <f t="array" ref="F119">_xlfn.IFS(B119="Owner Surrender",E119,B119="Stray",E119+6,B119="Stray w/identification",E119+11,B119="Bite",E119+10,B119="Other",E119+30,B119="BAS",E119+56,B119="Seized",E119)</f>
        <v>45688</v>
      </c>
      <c r="G119" s="2">
        <v>45701</v>
      </c>
      <c r="H119" s="5">
        <f t="shared" si="3"/>
        <v>13</v>
      </c>
      <c r="I119" s="5">
        <f t="shared" si="4"/>
        <v>13</v>
      </c>
      <c r="J119" s="2" t="s">
        <v>18</v>
      </c>
      <c r="K119" s="2" t="s">
        <v>586</v>
      </c>
      <c r="L119" s="2" t="s">
        <v>248</v>
      </c>
      <c r="M119" s="2"/>
      <c r="AD119" s="33" t="str">
        <f t="shared" si="5"/>
        <v>Thursday</v>
      </c>
    </row>
    <row r="120" spans="1:30" x14ac:dyDescent="0.2">
      <c r="A120" s="23">
        <v>39580</v>
      </c>
      <c r="B120" s="2" t="s">
        <v>38</v>
      </c>
      <c r="C120" t="s">
        <v>237</v>
      </c>
      <c r="D120" t="s">
        <v>207</v>
      </c>
      <c r="E120" s="2">
        <v>45688</v>
      </c>
      <c r="F120" s="2" cm="1">
        <f t="array" ref="F120">_xlfn.IFS(B120="Owner Surrender",E120,B120="Stray",E120+6,B120="Stray w/identification",E120+11,B120="Bite",E120+10,B120="Other",E120+30,B120="BAS",E120+56,B120="Seized",E120)</f>
        <v>45694</v>
      </c>
      <c r="G120" s="2">
        <v>45713</v>
      </c>
      <c r="H120" s="5">
        <f t="shared" si="3"/>
        <v>25</v>
      </c>
      <c r="I120" s="5">
        <f t="shared" si="4"/>
        <v>19</v>
      </c>
      <c r="J120" s="2" t="s">
        <v>11</v>
      </c>
      <c r="K120" s="2" t="s">
        <v>586</v>
      </c>
      <c r="L120" t="s">
        <v>156</v>
      </c>
      <c r="AD120" s="33" t="str">
        <f t="shared" si="5"/>
        <v>Tuesday</v>
      </c>
    </row>
    <row r="121" spans="1:30" x14ac:dyDescent="0.2">
      <c r="A121" s="23">
        <v>39581</v>
      </c>
      <c r="B121" s="2" t="s">
        <v>38</v>
      </c>
      <c r="C121" t="s">
        <v>237</v>
      </c>
      <c r="D121" t="s">
        <v>208</v>
      </c>
      <c r="E121" s="2">
        <v>45688</v>
      </c>
      <c r="F121" s="2" cm="1">
        <f t="array" ref="F121">_xlfn.IFS(B121="Owner Surrender",E121,B121="Stray",E121+6,B121="Stray w/identification",E121+11,B121="Bite",E121+10,B121="Other",E121+30,B121="BAS",E121+56,B121="Seized",E121)</f>
        <v>45694</v>
      </c>
      <c r="G121" s="2">
        <v>45700</v>
      </c>
      <c r="H121" s="5">
        <f t="shared" si="3"/>
        <v>12</v>
      </c>
      <c r="I121" s="5">
        <f t="shared" si="4"/>
        <v>6</v>
      </c>
      <c r="J121" s="2" t="s">
        <v>18</v>
      </c>
      <c r="K121" s="2" t="s">
        <v>586</v>
      </c>
      <c r="AD121" s="33" t="str">
        <f t="shared" si="5"/>
        <v>Wednesday</v>
      </c>
    </row>
    <row r="122" spans="1:30" x14ac:dyDescent="0.2">
      <c r="A122" s="23">
        <v>39582</v>
      </c>
      <c r="B122" s="2" t="s">
        <v>38</v>
      </c>
      <c r="C122" t="s">
        <v>237</v>
      </c>
      <c r="D122" t="s">
        <v>208</v>
      </c>
      <c r="E122" s="2">
        <v>45688</v>
      </c>
      <c r="F122" s="2" cm="1">
        <f t="array" ref="F122">_xlfn.IFS(B122="Owner Surrender",E122,B122="Stray",E122+6,B122="Stray w/identification",E122+11,B122="Bite",E122+10,B122="Other",E122+30,B122="BAS",E122+56,B122="Seized",E122)</f>
        <v>45694</v>
      </c>
      <c r="G122" s="2">
        <v>45700</v>
      </c>
      <c r="H122" s="5">
        <f t="shared" si="3"/>
        <v>12</v>
      </c>
      <c r="I122" s="5">
        <f t="shared" si="4"/>
        <v>6</v>
      </c>
      <c r="J122" s="2" t="s">
        <v>18</v>
      </c>
      <c r="K122" s="2" t="s">
        <v>586</v>
      </c>
      <c r="AD122" s="33" t="str">
        <f t="shared" si="5"/>
        <v>Wednesday</v>
      </c>
    </row>
    <row r="123" spans="1:30" x14ac:dyDescent="0.2">
      <c r="A123" s="23">
        <v>39583</v>
      </c>
      <c r="B123" s="2" t="s">
        <v>38</v>
      </c>
      <c r="C123" t="s">
        <v>237</v>
      </c>
      <c r="D123" t="s">
        <v>208</v>
      </c>
      <c r="E123" s="2">
        <v>45688</v>
      </c>
      <c r="F123" s="2" cm="1">
        <f t="array" ref="F123">_xlfn.IFS(B123="Owner Surrender",E123,B123="Stray",E123+6,B123="Stray w/identification",E123+11,B123="Bite",E123+10,B123="Other",E123+30,B123="BAS",E123+56,B123="Seized",E123)</f>
        <v>45694</v>
      </c>
      <c r="G123" s="2">
        <v>45700</v>
      </c>
      <c r="H123" s="5">
        <f t="shared" si="3"/>
        <v>12</v>
      </c>
      <c r="I123" s="5">
        <f t="shared" si="4"/>
        <v>6</v>
      </c>
      <c r="J123" s="2" t="s">
        <v>18</v>
      </c>
      <c r="K123" s="2" t="s">
        <v>586</v>
      </c>
      <c r="AD123" s="33" t="str">
        <f t="shared" si="5"/>
        <v>Wednesday</v>
      </c>
    </row>
    <row r="124" spans="1:30" x14ac:dyDescent="0.2">
      <c r="A124" s="23">
        <v>39586</v>
      </c>
      <c r="B124" s="2" t="s">
        <v>36</v>
      </c>
      <c r="C124" t="s">
        <v>110</v>
      </c>
      <c r="D124" t="s">
        <v>207</v>
      </c>
      <c r="E124" s="2">
        <v>45688</v>
      </c>
      <c r="F124" s="2" cm="1">
        <f t="array" ref="F124">_xlfn.IFS(B124="Owner Surrender",E124,B124="Stray",E124+6,B124="Stray w/identification",E124+11,B124="Bite",E124+10,B124="Other",E124+30,B124="BAS",E124+56,B124="Seized",E124)</f>
        <v>45688</v>
      </c>
      <c r="G124" s="2">
        <v>45701</v>
      </c>
      <c r="H124" s="5">
        <f t="shared" si="3"/>
        <v>13</v>
      </c>
      <c r="I124" s="5">
        <f t="shared" si="4"/>
        <v>13</v>
      </c>
      <c r="J124" s="2" t="s">
        <v>11</v>
      </c>
      <c r="K124" s="2" t="s">
        <v>586</v>
      </c>
      <c r="AD124" s="33" t="str">
        <f t="shared" si="5"/>
        <v>Thursday</v>
      </c>
    </row>
    <row r="125" spans="1:30" x14ac:dyDescent="0.2">
      <c r="A125" s="23">
        <v>39587</v>
      </c>
      <c r="B125" s="2" t="s">
        <v>36</v>
      </c>
      <c r="C125" t="s">
        <v>72</v>
      </c>
      <c r="D125" t="s">
        <v>208</v>
      </c>
      <c r="E125" s="2">
        <v>45688</v>
      </c>
      <c r="F125" s="2" cm="1">
        <f t="array" ref="F125">_xlfn.IFS(B125="Owner Surrender",E125,B125="Stray",E125+6,B125="Stray w/identification",E125+11,B125="Bite",E125+10,B125="Other",E125+30,B125="BAS",E125+56,B125="Seized",E125)</f>
        <v>45688</v>
      </c>
      <c r="G125" s="2">
        <v>45727</v>
      </c>
      <c r="H125" s="5">
        <f t="shared" si="3"/>
        <v>39</v>
      </c>
      <c r="I125" s="5">
        <f t="shared" si="4"/>
        <v>39</v>
      </c>
      <c r="J125" s="2" t="s">
        <v>11</v>
      </c>
      <c r="K125" s="2" t="s">
        <v>586</v>
      </c>
      <c r="L125" s="2" t="s">
        <v>238</v>
      </c>
      <c r="M125" s="2"/>
      <c r="AD125" s="33" t="str">
        <f t="shared" si="5"/>
        <v>Tuesday</v>
      </c>
    </row>
    <row r="126" spans="1:30" x14ac:dyDescent="0.2">
      <c r="A126" s="23">
        <v>39588</v>
      </c>
      <c r="B126" s="2" t="s">
        <v>38</v>
      </c>
      <c r="C126" t="s">
        <v>107</v>
      </c>
      <c r="D126" t="s">
        <v>207</v>
      </c>
      <c r="E126" s="2">
        <v>45688</v>
      </c>
      <c r="F126" s="2" cm="1">
        <f t="array" ref="F126">_xlfn.IFS(B126="Owner Surrender",E126,B126="Stray",E126+6,B126="Stray w/identification",E126+11,B126="Bite",E126+10,B126="Other",E126+30,B126="BAS",E126+56,B126="Seized",E126)</f>
        <v>45694</v>
      </c>
      <c r="G126" s="2">
        <v>45706</v>
      </c>
      <c r="H126" s="5">
        <f t="shared" si="3"/>
        <v>18</v>
      </c>
      <c r="I126" s="5">
        <f t="shared" si="4"/>
        <v>12</v>
      </c>
      <c r="J126" s="2" t="s">
        <v>11</v>
      </c>
      <c r="K126" s="2" t="s">
        <v>586</v>
      </c>
      <c r="AD126" s="33" t="str">
        <f t="shared" si="5"/>
        <v>Tuesday</v>
      </c>
    </row>
    <row r="127" spans="1:30" x14ac:dyDescent="0.2">
      <c r="A127" s="23">
        <v>39589</v>
      </c>
      <c r="B127" s="2" t="s">
        <v>38</v>
      </c>
      <c r="C127" t="s">
        <v>49</v>
      </c>
      <c r="D127" t="s">
        <v>208</v>
      </c>
      <c r="E127" s="2">
        <v>45688</v>
      </c>
      <c r="F127" s="2" cm="1">
        <f t="array" ref="F127">_xlfn.IFS(B127="Owner Surrender",E127,B127="Stray",E127+6,B127="Stray w/identification",E127+11,B127="Bite",E127+10,B127="Other",E127+30,B127="BAS",E127+56,B127="Seized",E127)</f>
        <v>45694</v>
      </c>
      <c r="G127" s="2">
        <v>45695</v>
      </c>
      <c r="H127" s="5">
        <f t="shared" si="3"/>
        <v>7</v>
      </c>
      <c r="I127" s="5">
        <f t="shared" si="4"/>
        <v>1</v>
      </c>
      <c r="J127" s="2" t="s">
        <v>31</v>
      </c>
      <c r="K127" s="2" t="s">
        <v>587</v>
      </c>
      <c r="AD127" s="33" t="str">
        <f t="shared" si="5"/>
        <v>Friday</v>
      </c>
    </row>
    <row r="128" spans="1:30" x14ac:dyDescent="0.2">
      <c r="A128" s="23">
        <v>39590</v>
      </c>
      <c r="B128" s="2" t="s">
        <v>38</v>
      </c>
      <c r="C128" t="s">
        <v>49</v>
      </c>
      <c r="D128" t="s">
        <v>208</v>
      </c>
      <c r="E128" s="2">
        <v>45688</v>
      </c>
      <c r="F128" s="2" cm="1">
        <f t="array" ref="F128">_xlfn.IFS(B128="Owner Surrender",E128,B128="Stray",E128+6,B128="Stray w/identification",E128+11,B128="Bite",E128+10,B128="Other",E128+30,B128="BAS",E128+56,B128="Seized",E128)</f>
        <v>45694</v>
      </c>
      <c r="G128" s="2">
        <v>45695</v>
      </c>
      <c r="H128" s="5">
        <f t="shared" si="3"/>
        <v>7</v>
      </c>
      <c r="I128" s="5">
        <f t="shared" si="4"/>
        <v>1</v>
      </c>
      <c r="J128" s="2" t="s">
        <v>31</v>
      </c>
      <c r="K128" s="2" t="s">
        <v>587</v>
      </c>
      <c r="AD128" s="33" t="str">
        <f t="shared" si="5"/>
        <v>Friday</v>
      </c>
    </row>
    <row r="129" spans="1:30" x14ac:dyDescent="0.2">
      <c r="A129" s="23">
        <v>39598</v>
      </c>
      <c r="B129" s="2" t="s">
        <v>36</v>
      </c>
      <c r="C129" t="s">
        <v>457</v>
      </c>
      <c r="D129" t="s">
        <v>207</v>
      </c>
      <c r="E129" s="2">
        <v>45690</v>
      </c>
      <c r="F129" s="2" cm="1">
        <f t="array" ref="F129">_xlfn.IFS(B129="Owner Surrender",E129,B129="Stray",E129+6,B129="Stray w/identification",E129+11,B129="Bite",E129+10,B129="Other",E129+30,B129="BAS",E129+56,B129="Seized",E129)</f>
        <v>45690</v>
      </c>
      <c r="G129" s="2">
        <v>45698</v>
      </c>
      <c r="H129" s="5">
        <f t="shared" si="3"/>
        <v>8</v>
      </c>
      <c r="I129" s="5">
        <f t="shared" si="4"/>
        <v>8</v>
      </c>
      <c r="J129" s="2" t="s">
        <v>31</v>
      </c>
      <c r="K129" s="2" t="s">
        <v>588</v>
      </c>
      <c r="L129" t="s">
        <v>458</v>
      </c>
      <c r="M129" t="s">
        <v>66</v>
      </c>
      <c r="AD129" s="33" t="str">
        <f t="shared" si="5"/>
        <v>Monday</v>
      </c>
    </row>
    <row r="130" spans="1:30" x14ac:dyDescent="0.2">
      <c r="A130" s="23">
        <v>39599</v>
      </c>
      <c r="B130" s="2" t="s">
        <v>38</v>
      </c>
      <c r="C130" t="s">
        <v>49</v>
      </c>
      <c r="D130" t="s">
        <v>207</v>
      </c>
      <c r="E130" s="2">
        <v>45692</v>
      </c>
      <c r="F130" s="2" cm="1">
        <f t="array" ref="F130">_xlfn.IFS(B130="Owner Surrender",E130,B130="Stray",E130+6,B130="Stray w/identification",E130+11,B130="Bite",E130+10,B130="Other",E130+30,B130="BAS",E130+56,B130="Seized",E130)</f>
        <v>45698</v>
      </c>
      <c r="G130" s="2">
        <v>45708</v>
      </c>
      <c r="H130" s="5">
        <f t="shared" si="3"/>
        <v>16</v>
      </c>
      <c r="I130" s="5">
        <f t="shared" si="4"/>
        <v>10</v>
      </c>
      <c r="J130" s="2" t="s">
        <v>31</v>
      </c>
      <c r="K130" s="2" t="s">
        <v>587</v>
      </c>
      <c r="AD130" s="33" t="str">
        <f t="shared" si="5"/>
        <v>Thursday</v>
      </c>
    </row>
    <row r="131" spans="1:30" x14ac:dyDescent="0.2">
      <c r="A131" s="23">
        <v>39600</v>
      </c>
      <c r="B131" s="2" t="s">
        <v>38</v>
      </c>
      <c r="C131" t="s">
        <v>456</v>
      </c>
      <c r="D131" t="s">
        <v>207</v>
      </c>
      <c r="E131" s="2">
        <v>45690</v>
      </c>
      <c r="F131" s="2" cm="1">
        <f t="array" ref="F131">_xlfn.IFS(B131="Owner Surrender",E131,B131="Stray",E131+6,B131="Stray w/identification",E131+11,B131="Bite",E131+10,B131="Other",E131+30,B131="BAS",E131+56,B131="Seized",E131)</f>
        <v>45696</v>
      </c>
      <c r="G131" s="2">
        <v>45702</v>
      </c>
      <c r="H131" s="5">
        <f t="shared" ref="H131:H194" si="6">+G131-E131</f>
        <v>12</v>
      </c>
      <c r="I131" s="5">
        <f t="shared" ref="I131:I194" si="7">G131-F131</f>
        <v>6</v>
      </c>
      <c r="J131" s="2" t="s">
        <v>11</v>
      </c>
      <c r="K131" s="2" t="s">
        <v>586</v>
      </c>
      <c r="L131" t="s">
        <v>112</v>
      </c>
      <c r="AD131" s="33" t="str">
        <f t="shared" si="5"/>
        <v>Friday</v>
      </c>
    </row>
    <row r="132" spans="1:30" x14ac:dyDescent="0.2">
      <c r="A132" s="23">
        <v>39601</v>
      </c>
      <c r="B132" s="2" t="s">
        <v>38</v>
      </c>
      <c r="C132" t="s">
        <v>148</v>
      </c>
      <c r="D132" t="s">
        <v>210</v>
      </c>
      <c r="E132" s="2">
        <v>45691</v>
      </c>
      <c r="F132" s="2" cm="1">
        <f t="array" ref="F132">_xlfn.IFS(B132="Owner Surrender",E132,B132="Stray",E132+6,B132="Stray w/identification",E132+11,B132="Bite",E132+10,B132="Other",E132+30,B132="BAS",E132+56,B132="Seized",E132)</f>
        <v>45697</v>
      </c>
      <c r="G132" s="2">
        <v>45691</v>
      </c>
      <c r="H132" s="5">
        <f t="shared" si="6"/>
        <v>0</v>
      </c>
      <c r="I132" s="5">
        <f t="shared" si="7"/>
        <v>-6</v>
      </c>
      <c r="J132" s="2" t="s">
        <v>8</v>
      </c>
      <c r="K132" s="2" t="s">
        <v>586</v>
      </c>
      <c r="AD132" s="33" t="str">
        <f t="shared" ref="AD132:AD195" si="8">TEXT(G132,"DDDD")</f>
        <v>Monday</v>
      </c>
    </row>
    <row r="133" spans="1:30" x14ac:dyDescent="0.2">
      <c r="A133" s="23">
        <v>39603</v>
      </c>
      <c r="B133" s="2" t="s">
        <v>36</v>
      </c>
      <c r="C133" t="s">
        <v>148</v>
      </c>
      <c r="D133" t="s">
        <v>208</v>
      </c>
      <c r="E133" s="2">
        <v>45692</v>
      </c>
      <c r="F133" s="2" cm="1">
        <f t="array" ref="F133">_xlfn.IFS(B133="Owner Surrender",E133,B133="Stray",E133+6,B133="Stray w/identification",E133+11,B133="Bite",E133+10,B133="Other",E133+30,B133="BAS",E133+56,B133="Seized",E133)</f>
        <v>45692</v>
      </c>
      <c r="G133" s="2">
        <v>45701</v>
      </c>
      <c r="H133" s="5">
        <f t="shared" si="6"/>
        <v>9</v>
      </c>
      <c r="I133" s="5">
        <f t="shared" si="7"/>
        <v>9</v>
      </c>
      <c r="J133" s="2" t="s">
        <v>18</v>
      </c>
      <c r="K133" s="2" t="s">
        <v>586</v>
      </c>
      <c r="L133" t="s">
        <v>455</v>
      </c>
      <c r="AD133" s="33" t="str">
        <f t="shared" si="8"/>
        <v>Thursday</v>
      </c>
    </row>
    <row r="134" spans="1:30" x14ac:dyDescent="0.2">
      <c r="A134" s="23">
        <v>39604</v>
      </c>
      <c r="B134" s="2" t="s">
        <v>36</v>
      </c>
      <c r="C134" t="s">
        <v>540</v>
      </c>
      <c r="D134" t="s">
        <v>208</v>
      </c>
      <c r="E134" s="2">
        <v>45692</v>
      </c>
      <c r="F134" s="2" cm="1">
        <f t="array" ref="F134">_xlfn.IFS(B134="Owner Surrender",E134,B134="Stray",E134+6,B134="Stray w/identification",E134+11,B134="Bite",E134+10,B134="Other",E134+30,B134="BAS",E134+56,B134="Seized",E134)</f>
        <v>45692</v>
      </c>
      <c r="G134" s="2">
        <v>45748</v>
      </c>
      <c r="H134" s="5">
        <f t="shared" si="6"/>
        <v>56</v>
      </c>
      <c r="I134" s="5">
        <f t="shared" si="7"/>
        <v>56</v>
      </c>
      <c r="J134" s="2" t="s">
        <v>31</v>
      </c>
      <c r="K134" s="2" t="s">
        <v>587</v>
      </c>
      <c r="AD134" s="33" t="str">
        <f t="shared" si="8"/>
        <v>Tuesday</v>
      </c>
    </row>
    <row r="135" spans="1:30" x14ac:dyDescent="0.2">
      <c r="A135" s="23">
        <v>39605</v>
      </c>
      <c r="B135" s="2" t="s">
        <v>36</v>
      </c>
      <c r="C135" t="s">
        <v>148</v>
      </c>
      <c r="D135" t="s">
        <v>208</v>
      </c>
      <c r="E135" s="2">
        <v>45692</v>
      </c>
      <c r="F135" s="2" cm="1">
        <f t="array" ref="F135">_xlfn.IFS(B135="Owner Surrender",E135,B135="Stray",E135+6,B135="Stray w/identification",E135+11,B135="Bite",E135+10,B135="Other",E135+30,B135="BAS",E135+56,B135="Seized",E135)</f>
        <v>45692</v>
      </c>
      <c r="G135" s="2">
        <v>45701</v>
      </c>
      <c r="H135" s="5">
        <f t="shared" si="6"/>
        <v>9</v>
      </c>
      <c r="I135" s="5">
        <f t="shared" si="7"/>
        <v>9</v>
      </c>
      <c r="J135" s="2" t="s">
        <v>18</v>
      </c>
      <c r="K135" s="2" t="s">
        <v>586</v>
      </c>
      <c r="L135" t="s">
        <v>454</v>
      </c>
      <c r="AD135" s="33" t="str">
        <f t="shared" si="8"/>
        <v>Thursday</v>
      </c>
    </row>
    <row r="136" spans="1:30" x14ac:dyDescent="0.2">
      <c r="A136" s="23">
        <v>39606</v>
      </c>
      <c r="B136" s="2" t="s">
        <v>36</v>
      </c>
      <c r="C136" t="s">
        <v>148</v>
      </c>
      <c r="D136" t="s">
        <v>208</v>
      </c>
      <c r="E136" s="2">
        <v>45692</v>
      </c>
      <c r="F136" s="2" cm="1">
        <f t="array" ref="F136">_xlfn.IFS(B136="Owner Surrender",E136,B136="Stray",E136+6,B136="Stray w/identification",E136+11,B136="Bite",E136+10,B136="Other",E136+30,B136="BAS",E136+56,B136="Seized",E136)</f>
        <v>45692</v>
      </c>
      <c r="G136" s="2">
        <v>45748</v>
      </c>
      <c r="H136" s="5">
        <f t="shared" si="6"/>
        <v>56</v>
      </c>
      <c r="I136" s="5">
        <f t="shared" si="7"/>
        <v>56</v>
      </c>
      <c r="J136" s="2" t="s">
        <v>31</v>
      </c>
      <c r="K136" s="2" t="s">
        <v>587</v>
      </c>
      <c r="AD136" s="33" t="str">
        <f t="shared" si="8"/>
        <v>Tuesday</v>
      </c>
    </row>
    <row r="137" spans="1:30" x14ac:dyDescent="0.2">
      <c r="A137" s="23">
        <v>39619</v>
      </c>
      <c r="B137" s="2" t="s">
        <v>38</v>
      </c>
      <c r="C137" t="s">
        <v>48</v>
      </c>
      <c r="D137" t="s">
        <v>208</v>
      </c>
      <c r="E137" s="2">
        <v>45694</v>
      </c>
      <c r="F137" s="2" cm="1">
        <f t="array" ref="F137">_xlfn.IFS(B137="Owner Surrender",E137,B137="Stray",E137+6,B137="Stray w/identification",E137+11,B137="Bite",E137+10,B137="Other",E137+30,B137="BAS",E137+56,B137="Seized",E137)</f>
        <v>45700</v>
      </c>
      <c r="G137" s="2">
        <v>45701</v>
      </c>
      <c r="H137" s="5">
        <f t="shared" si="6"/>
        <v>7</v>
      </c>
      <c r="I137" s="5">
        <f t="shared" si="7"/>
        <v>1</v>
      </c>
      <c r="J137" s="2" t="s">
        <v>31</v>
      </c>
      <c r="K137" s="2" t="s">
        <v>587</v>
      </c>
      <c r="AD137" s="33" t="str">
        <f t="shared" si="8"/>
        <v>Thursday</v>
      </c>
    </row>
    <row r="138" spans="1:30" x14ac:dyDescent="0.2">
      <c r="A138" s="23">
        <v>39621</v>
      </c>
      <c r="B138" s="2" t="s">
        <v>36</v>
      </c>
      <c r="C138" t="s">
        <v>83</v>
      </c>
      <c r="D138" t="s">
        <v>207</v>
      </c>
      <c r="E138" s="2">
        <v>45694</v>
      </c>
      <c r="F138" s="2" cm="1">
        <f t="array" ref="F138">_xlfn.IFS(B138="Owner Surrender",E138,B138="Stray",E138+6,B138="Stray w/identification",E138+11,B138="Bite",E138+10,B138="Other",E138+30,B138="BAS",E138+56,B138="Seized",E138)</f>
        <v>45694</v>
      </c>
      <c r="G138" s="2">
        <v>45694</v>
      </c>
      <c r="H138" s="5">
        <f t="shared" si="6"/>
        <v>0</v>
      </c>
      <c r="I138" s="5">
        <f t="shared" si="7"/>
        <v>0</v>
      </c>
      <c r="J138" s="2" t="s">
        <v>31</v>
      </c>
      <c r="K138" s="2" t="s">
        <v>589</v>
      </c>
      <c r="M138" t="s">
        <v>453</v>
      </c>
      <c r="AD138" s="33" t="str">
        <f t="shared" si="8"/>
        <v>Thursday</v>
      </c>
    </row>
    <row r="139" spans="1:30" x14ac:dyDescent="0.2">
      <c r="A139" s="23">
        <v>39624</v>
      </c>
      <c r="B139" s="2" t="s">
        <v>36</v>
      </c>
      <c r="C139" t="s">
        <v>72</v>
      </c>
      <c r="D139" t="s">
        <v>207</v>
      </c>
      <c r="E139" s="2">
        <v>45695</v>
      </c>
      <c r="F139" s="2" cm="1">
        <f t="array" ref="F139">_xlfn.IFS(B139="Owner Surrender",E139,B139="Stray",E139+6,B139="Stray w/identification",E139+11,B139="Bite",E139+10,B139="Other",E139+30,B139="BAS",E139+56,B139="Seized",E139)</f>
        <v>45695</v>
      </c>
      <c r="G139" s="2">
        <v>45699</v>
      </c>
      <c r="H139" s="5">
        <f t="shared" si="6"/>
        <v>4</v>
      </c>
      <c r="I139" s="5">
        <f t="shared" si="7"/>
        <v>4</v>
      </c>
      <c r="J139" s="2" t="s">
        <v>31</v>
      </c>
      <c r="K139" s="2" t="s">
        <v>587</v>
      </c>
      <c r="AD139" s="33" t="str">
        <f t="shared" si="8"/>
        <v>Tuesday</v>
      </c>
    </row>
    <row r="140" spans="1:30" x14ac:dyDescent="0.2">
      <c r="A140" s="23">
        <v>39625</v>
      </c>
      <c r="B140" s="2" t="s">
        <v>36</v>
      </c>
      <c r="C140" t="s">
        <v>55</v>
      </c>
      <c r="D140" t="s">
        <v>207</v>
      </c>
      <c r="E140" s="2">
        <v>45695</v>
      </c>
      <c r="F140" s="2" cm="1">
        <f t="array" ref="F140">_xlfn.IFS(B140="Owner Surrender",E140,B140="Stray",E140+6,B140="Stray w/identification",E140+11,B140="Bite",E140+10,B140="Other",E140+30,B140="BAS",E140+56,B140="Seized",E140)</f>
        <v>45695</v>
      </c>
      <c r="G140" s="2">
        <v>45706</v>
      </c>
      <c r="H140" s="5">
        <f t="shared" si="6"/>
        <v>11</v>
      </c>
      <c r="I140" s="5">
        <f t="shared" si="7"/>
        <v>11</v>
      </c>
      <c r="J140" s="2" t="s">
        <v>31</v>
      </c>
      <c r="K140" s="2" t="s">
        <v>587</v>
      </c>
      <c r="L140" t="s">
        <v>452</v>
      </c>
      <c r="AD140" s="33" t="str">
        <f t="shared" si="8"/>
        <v>Tuesday</v>
      </c>
    </row>
    <row r="141" spans="1:30" x14ac:dyDescent="0.2">
      <c r="A141" s="23">
        <v>39626</v>
      </c>
      <c r="B141" s="2" t="s">
        <v>36</v>
      </c>
      <c r="C141" t="s">
        <v>48</v>
      </c>
      <c r="D141" t="s">
        <v>207</v>
      </c>
      <c r="E141" s="2">
        <v>45695</v>
      </c>
      <c r="F141" s="2" cm="1">
        <f t="array" ref="F141">_xlfn.IFS(B141="Owner Surrender",E141,B141="Stray",E141+6,B141="Stray w/identification",E141+11,B141="Bite",E141+10,B141="Other",E141+30,B141="BAS",E141+56,B141="Seized",E141)</f>
        <v>45695</v>
      </c>
      <c r="G141" s="2">
        <v>45699</v>
      </c>
      <c r="H141" s="5">
        <f t="shared" si="6"/>
        <v>4</v>
      </c>
      <c r="I141" s="5">
        <f t="shared" si="7"/>
        <v>4</v>
      </c>
      <c r="J141" s="2" t="s">
        <v>31</v>
      </c>
      <c r="K141" s="2" t="s">
        <v>587</v>
      </c>
      <c r="AD141" s="33" t="str">
        <f t="shared" si="8"/>
        <v>Tuesday</v>
      </c>
    </row>
    <row r="142" spans="1:30" x14ac:dyDescent="0.2">
      <c r="A142" s="23">
        <v>39637</v>
      </c>
      <c r="B142" s="2" t="s">
        <v>36</v>
      </c>
      <c r="C142" t="s">
        <v>69</v>
      </c>
      <c r="D142" t="s">
        <v>207</v>
      </c>
      <c r="E142" s="2">
        <v>45696</v>
      </c>
      <c r="F142" s="2" cm="1">
        <f t="array" ref="F142">_xlfn.IFS(B142="Owner Surrender",E142,B142="Stray",E142+6,B142="Stray w/identification",E142+11,B142="Bite",E142+10,B142="Other",E142+30,B142="BAS",E142+56,B142="Seized",E142)</f>
        <v>45696</v>
      </c>
      <c r="G142" s="2">
        <v>45699</v>
      </c>
      <c r="H142" s="5">
        <f t="shared" si="6"/>
        <v>3</v>
      </c>
      <c r="I142" s="5">
        <f t="shared" si="7"/>
        <v>3</v>
      </c>
      <c r="J142" s="2" t="s">
        <v>31</v>
      </c>
      <c r="K142" s="2" t="s">
        <v>587</v>
      </c>
      <c r="L142" t="s">
        <v>20</v>
      </c>
      <c r="AD142" s="33" t="str">
        <f t="shared" si="8"/>
        <v>Tuesday</v>
      </c>
    </row>
    <row r="143" spans="1:30" x14ac:dyDescent="0.2">
      <c r="A143" s="23">
        <v>39638</v>
      </c>
      <c r="B143" s="2" t="s">
        <v>36</v>
      </c>
      <c r="C143" t="s">
        <v>167</v>
      </c>
      <c r="D143" t="s">
        <v>207</v>
      </c>
      <c r="E143" s="2">
        <v>45696</v>
      </c>
      <c r="F143" s="2" cm="1">
        <f t="array" ref="F143">_xlfn.IFS(B143="Owner Surrender",E143,B143="Stray",E143+6,B143="Stray w/identification",E143+11,B143="Bite",E143+10,B143="Other",E143+30,B143="BAS",E143+56,B143="Seized",E143)</f>
        <v>45696</v>
      </c>
      <c r="G143" s="2">
        <v>45701</v>
      </c>
      <c r="H143" s="5">
        <f t="shared" si="6"/>
        <v>5</v>
      </c>
      <c r="I143" s="5">
        <f t="shared" si="7"/>
        <v>5</v>
      </c>
      <c r="J143" s="2" t="s">
        <v>18</v>
      </c>
      <c r="K143" s="2" t="s">
        <v>586</v>
      </c>
      <c r="L143" t="s">
        <v>451</v>
      </c>
      <c r="AD143" s="33" t="str">
        <f t="shared" si="8"/>
        <v>Thursday</v>
      </c>
    </row>
    <row r="144" spans="1:30" x14ac:dyDescent="0.2">
      <c r="A144" s="23">
        <v>39639</v>
      </c>
      <c r="B144" s="2" t="s">
        <v>36</v>
      </c>
      <c r="C144" t="s">
        <v>95</v>
      </c>
      <c r="D144" t="s">
        <v>207</v>
      </c>
      <c r="E144" s="2">
        <v>45696</v>
      </c>
      <c r="F144" s="2" cm="1">
        <f t="array" ref="F144">_xlfn.IFS(B144="Owner Surrender",E144,B144="Stray",E144+6,B144="Stray w/identification",E144+11,B144="Bite",E144+10,B144="Other",E144+30,B144="BAS",E144+56,B144="Seized",E144)</f>
        <v>45696</v>
      </c>
      <c r="G144" s="2">
        <v>45701</v>
      </c>
      <c r="H144" s="5">
        <f t="shared" si="6"/>
        <v>5</v>
      </c>
      <c r="I144" s="5">
        <f t="shared" si="7"/>
        <v>5</v>
      </c>
      <c r="J144" s="2" t="s">
        <v>18</v>
      </c>
      <c r="K144" s="2" t="s">
        <v>586</v>
      </c>
      <c r="L144" t="s">
        <v>450</v>
      </c>
      <c r="AD144" s="33" t="str">
        <f t="shared" si="8"/>
        <v>Thursday</v>
      </c>
    </row>
    <row r="145" spans="1:30" x14ac:dyDescent="0.2">
      <c r="A145" s="23">
        <v>39640</v>
      </c>
      <c r="B145" s="2" t="s">
        <v>36</v>
      </c>
      <c r="C145" t="s">
        <v>95</v>
      </c>
      <c r="D145" t="s">
        <v>207</v>
      </c>
      <c r="E145" s="2">
        <v>45696</v>
      </c>
      <c r="F145" s="2" cm="1">
        <f t="array" ref="F145">_xlfn.IFS(B145="Owner Surrender",E145,B145="Stray",E145+6,B145="Stray w/identification",E145+11,B145="Bite",E145+10,B145="Other",E145+30,B145="BAS",E145+56,B145="Seized",E145)</f>
        <v>45696</v>
      </c>
      <c r="G145" s="2">
        <v>45701</v>
      </c>
      <c r="H145" s="5">
        <f t="shared" si="6"/>
        <v>5</v>
      </c>
      <c r="I145" s="5">
        <f t="shared" si="7"/>
        <v>5</v>
      </c>
      <c r="J145" s="2" t="s">
        <v>18</v>
      </c>
      <c r="K145" s="2" t="s">
        <v>586</v>
      </c>
      <c r="L145" t="s">
        <v>449</v>
      </c>
      <c r="AD145" s="33" t="str">
        <f t="shared" si="8"/>
        <v>Thursday</v>
      </c>
    </row>
    <row r="146" spans="1:30" x14ac:dyDescent="0.2">
      <c r="A146" s="23">
        <v>39641</v>
      </c>
      <c r="B146" s="2" t="s">
        <v>36</v>
      </c>
      <c r="C146" t="s">
        <v>50</v>
      </c>
      <c r="D146" t="s">
        <v>207</v>
      </c>
      <c r="E146" s="2">
        <v>45697</v>
      </c>
      <c r="F146" s="2" cm="1">
        <f t="array" ref="F146">_xlfn.IFS(B146="Owner Surrender",E146,B146="Stray",E146+6,B146="Stray w/identification",E146+11,B146="Bite",E146+10,B146="Other",E146+30,B146="BAS",E146+56,B146="Seized",E146)</f>
        <v>45697</v>
      </c>
      <c r="G146" s="2">
        <v>45714</v>
      </c>
      <c r="H146" s="5">
        <f t="shared" si="6"/>
        <v>17</v>
      </c>
      <c r="I146" s="5">
        <f t="shared" si="7"/>
        <v>17</v>
      </c>
      <c r="J146" s="2" t="s">
        <v>11</v>
      </c>
      <c r="K146" s="2" t="s">
        <v>586</v>
      </c>
      <c r="L146" t="s">
        <v>96</v>
      </c>
      <c r="AD146" s="33" t="str">
        <f t="shared" si="8"/>
        <v>Wednesday</v>
      </c>
    </row>
    <row r="147" spans="1:30" x14ac:dyDescent="0.2">
      <c r="A147" s="23">
        <v>39642</v>
      </c>
      <c r="B147" s="2" t="s">
        <v>38</v>
      </c>
      <c r="C147" t="s">
        <v>49</v>
      </c>
      <c r="D147" t="s">
        <v>207</v>
      </c>
      <c r="E147" s="2">
        <v>45697</v>
      </c>
      <c r="F147" s="2" cm="1">
        <f t="array" ref="F147">_xlfn.IFS(B147="Owner Surrender",E147,B147="Stray",E147+6,B147="Stray w/identification",E147+11,B147="Bite",E147+10,B147="Other",E147+30,B147="BAS",E147+56,B147="Seized",E147)</f>
        <v>45703</v>
      </c>
      <c r="G147" s="2">
        <v>45706</v>
      </c>
      <c r="H147" s="5">
        <f t="shared" si="6"/>
        <v>9</v>
      </c>
      <c r="I147" s="5">
        <f t="shared" si="7"/>
        <v>3</v>
      </c>
      <c r="J147" s="2" t="s">
        <v>31</v>
      </c>
      <c r="K147" s="2" t="s">
        <v>587</v>
      </c>
      <c r="L147" t="s">
        <v>156</v>
      </c>
      <c r="AD147" s="33" t="str">
        <f t="shared" si="8"/>
        <v>Tuesday</v>
      </c>
    </row>
    <row r="148" spans="1:30" x14ac:dyDescent="0.2">
      <c r="A148" s="23">
        <v>39643</v>
      </c>
      <c r="B148" s="2" t="s">
        <v>179</v>
      </c>
      <c r="C148" t="s">
        <v>448</v>
      </c>
      <c r="D148" t="s">
        <v>207</v>
      </c>
      <c r="E148" s="2">
        <v>45697</v>
      </c>
      <c r="F148" s="2" cm="1">
        <f t="array" ref="F148">_xlfn.IFS(B148="Owner Surrender",E148,B148="Stray",E148+6,B148="Stray w/identification",E148+11,B148="Bite",E148+10,B148="Other",E148+30,B148="BAS",E148+56,B148="Seized",E148)</f>
        <v>45708</v>
      </c>
      <c r="G148" s="2">
        <v>45698</v>
      </c>
      <c r="H148" s="5">
        <f t="shared" si="6"/>
        <v>1</v>
      </c>
      <c r="I148" s="5">
        <f t="shared" si="7"/>
        <v>-10</v>
      </c>
      <c r="J148" s="2" t="s">
        <v>8</v>
      </c>
      <c r="K148" s="2" t="s">
        <v>586</v>
      </c>
      <c r="AD148" s="33" t="str">
        <f t="shared" si="8"/>
        <v>Monday</v>
      </c>
    </row>
    <row r="149" spans="1:30" x14ac:dyDescent="0.2">
      <c r="A149" s="23">
        <v>39644</v>
      </c>
      <c r="B149" s="2" t="s">
        <v>38</v>
      </c>
      <c r="C149" t="s">
        <v>69</v>
      </c>
      <c r="D149" t="s">
        <v>207</v>
      </c>
      <c r="E149" s="2">
        <v>45697</v>
      </c>
      <c r="F149" s="2" cm="1">
        <f t="array" ref="F149">_xlfn.IFS(B149="Owner Surrender",E149,B149="Stray",E149+6,B149="Stray w/identification",E149+11,B149="Bite",E149+10,B149="Other",E149+30,B149="BAS",E149+56,B149="Seized",E149)</f>
        <v>45703</v>
      </c>
      <c r="G149" s="2">
        <v>45698</v>
      </c>
      <c r="H149" s="5">
        <f t="shared" si="6"/>
        <v>1</v>
      </c>
      <c r="I149" s="5">
        <f t="shared" si="7"/>
        <v>-5</v>
      </c>
      <c r="J149" s="2" t="s">
        <v>8</v>
      </c>
      <c r="K149" s="2" t="s">
        <v>586</v>
      </c>
      <c r="AD149" s="33" t="str">
        <f t="shared" si="8"/>
        <v>Monday</v>
      </c>
    </row>
    <row r="150" spans="1:30" x14ac:dyDescent="0.2">
      <c r="A150" s="23">
        <v>39645</v>
      </c>
      <c r="B150" s="2" t="s">
        <v>38</v>
      </c>
      <c r="C150" t="s">
        <v>48</v>
      </c>
      <c r="D150" t="s">
        <v>207</v>
      </c>
      <c r="E150" s="2">
        <v>45698</v>
      </c>
      <c r="F150" s="2" cm="1">
        <f t="array" ref="F150">_xlfn.IFS(B150="Owner Surrender",E150,B150="Stray",E150+6,B150="Stray w/identification",E150+11,B150="Bite",E150+10,B150="Other",E150+30,B150="BAS",E150+56,B150="Seized",E150)</f>
        <v>45704</v>
      </c>
      <c r="G150" s="2">
        <v>45706</v>
      </c>
      <c r="H150" s="5">
        <f t="shared" si="6"/>
        <v>8</v>
      </c>
      <c r="I150" s="5">
        <f t="shared" si="7"/>
        <v>2</v>
      </c>
      <c r="J150" s="2" t="s">
        <v>31</v>
      </c>
      <c r="K150" s="2" t="s">
        <v>587</v>
      </c>
      <c r="L150" t="s">
        <v>447</v>
      </c>
      <c r="AD150" s="33" t="str">
        <f t="shared" si="8"/>
        <v>Tuesday</v>
      </c>
    </row>
    <row r="151" spans="1:30" x14ac:dyDescent="0.2">
      <c r="A151" s="23">
        <v>39646</v>
      </c>
      <c r="B151" s="2" t="s">
        <v>38</v>
      </c>
      <c r="C151" t="s">
        <v>71</v>
      </c>
      <c r="D151" t="s">
        <v>208</v>
      </c>
      <c r="E151" s="2">
        <v>45698</v>
      </c>
      <c r="F151" s="2" cm="1">
        <f t="array" ref="F151">_xlfn.IFS(B151="Owner Surrender",E151,B151="Stray",E151+6,B151="Stray w/identification",E151+11,B151="Bite",E151+10,B151="Other",E151+30,B151="BAS",E151+56,B151="Seized",E151)</f>
        <v>45704</v>
      </c>
      <c r="G151" s="2">
        <v>45706</v>
      </c>
      <c r="H151" s="5">
        <f t="shared" si="6"/>
        <v>8</v>
      </c>
      <c r="I151" s="5">
        <f t="shared" si="7"/>
        <v>2</v>
      </c>
      <c r="J151" s="2" t="s">
        <v>31</v>
      </c>
      <c r="K151" s="2" t="s">
        <v>587</v>
      </c>
      <c r="AD151" s="33" t="str">
        <f t="shared" si="8"/>
        <v>Tuesday</v>
      </c>
    </row>
    <row r="152" spans="1:30" x14ac:dyDescent="0.2">
      <c r="A152" s="23">
        <v>39649</v>
      </c>
      <c r="B152" s="2" t="s">
        <v>60</v>
      </c>
      <c r="C152" t="s">
        <v>49</v>
      </c>
      <c r="D152" t="s">
        <v>207</v>
      </c>
      <c r="E152" s="2">
        <v>45700</v>
      </c>
      <c r="F152" s="2" cm="1">
        <f t="array" ref="F152">_xlfn.IFS(B152="Owner Surrender",E152,B152="Stray",E152+6,B152="Stray w/identification",E152+11,B152="Bite",E152+10,B152="Other",E152+30,B152="BAS",E152+56,B152="Seized",E152)</f>
        <v>45730</v>
      </c>
      <c r="G152" s="2">
        <v>45701</v>
      </c>
      <c r="H152" s="5">
        <f t="shared" si="6"/>
        <v>1</v>
      </c>
      <c r="I152" s="5">
        <f t="shared" si="7"/>
        <v>-29</v>
      </c>
      <c r="J152" s="2" t="s">
        <v>18</v>
      </c>
      <c r="K152" s="2" t="s">
        <v>586</v>
      </c>
      <c r="AD152" s="33" t="str">
        <f t="shared" si="8"/>
        <v>Thursday</v>
      </c>
    </row>
    <row r="153" spans="1:30" x14ac:dyDescent="0.2">
      <c r="A153" s="23">
        <v>39652</v>
      </c>
      <c r="B153" s="2" t="s">
        <v>36</v>
      </c>
      <c r="C153" t="s">
        <v>445</v>
      </c>
      <c r="D153" t="s">
        <v>207</v>
      </c>
      <c r="E153" s="2">
        <v>45701</v>
      </c>
      <c r="F153" s="2" cm="1">
        <f t="array" ref="F153">_xlfn.IFS(B153="Owner Surrender",E153,B153="Stray",E153+6,B153="Stray w/identification",E153+11,B153="Bite",E153+10,B153="Other",E153+30,B153="BAS",E153+56,B153="Seized",E153)</f>
        <v>45701</v>
      </c>
      <c r="G153" s="2">
        <v>45706</v>
      </c>
      <c r="H153" s="5">
        <f t="shared" si="6"/>
        <v>5</v>
      </c>
      <c r="I153" s="5">
        <f t="shared" si="7"/>
        <v>5</v>
      </c>
      <c r="J153" s="2" t="s">
        <v>31</v>
      </c>
      <c r="K153" s="2" t="s">
        <v>587</v>
      </c>
      <c r="L153" t="s">
        <v>446</v>
      </c>
      <c r="AD153" s="33" t="str">
        <f t="shared" si="8"/>
        <v>Tuesday</v>
      </c>
    </row>
    <row r="154" spans="1:30" x14ac:dyDescent="0.2">
      <c r="A154" s="23">
        <v>39653</v>
      </c>
      <c r="B154" s="2" t="s">
        <v>179</v>
      </c>
      <c r="C154" t="s">
        <v>49</v>
      </c>
      <c r="D154" t="s">
        <v>207</v>
      </c>
      <c r="E154" s="2">
        <v>45701</v>
      </c>
      <c r="F154" s="2" cm="1">
        <f t="array" ref="F154">_xlfn.IFS(B154="Owner Surrender",E154,B154="Stray",E154+6,B154="Stray w/identification",E154+11,B154="Bite",E154+10,B154="Other",E154+30,B154="BAS",E154+56,B154="Seized",E154)</f>
        <v>45712</v>
      </c>
      <c r="G154" s="2">
        <v>45714</v>
      </c>
      <c r="H154" s="5">
        <f t="shared" si="6"/>
        <v>13</v>
      </c>
      <c r="I154" s="5">
        <f t="shared" si="7"/>
        <v>2</v>
      </c>
      <c r="J154" s="2" t="s">
        <v>31</v>
      </c>
      <c r="K154" s="2" t="s">
        <v>587</v>
      </c>
      <c r="L154" t="s">
        <v>444</v>
      </c>
      <c r="AD154" s="33" t="str">
        <f t="shared" si="8"/>
        <v>Wednesday</v>
      </c>
    </row>
    <row r="155" spans="1:30" x14ac:dyDescent="0.2">
      <c r="A155" s="23">
        <v>39654</v>
      </c>
      <c r="B155" s="2" t="s">
        <v>179</v>
      </c>
      <c r="C155" t="s">
        <v>420</v>
      </c>
      <c r="D155" t="s">
        <v>207</v>
      </c>
      <c r="E155" s="2">
        <v>45701</v>
      </c>
      <c r="F155" s="2" cm="1">
        <f t="array" ref="F155">_xlfn.IFS(B155="Owner Surrender",E155,B155="Stray",E155+6,B155="Stray w/identification",E155+11,B155="Bite",E155+10,B155="Other",E155+30,B155="BAS",E155+56,B155="Seized",E155)</f>
        <v>45712</v>
      </c>
      <c r="G155" s="2">
        <v>45702</v>
      </c>
      <c r="H155" s="5">
        <f t="shared" si="6"/>
        <v>1</v>
      </c>
      <c r="I155" s="5">
        <f t="shared" si="7"/>
        <v>-10</v>
      </c>
      <c r="J155" s="2" t="s">
        <v>8</v>
      </c>
      <c r="K155" s="2" t="s">
        <v>586</v>
      </c>
      <c r="AD155" s="33" t="str">
        <f t="shared" si="8"/>
        <v>Friday</v>
      </c>
    </row>
    <row r="156" spans="1:30" x14ac:dyDescent="0.2">
      <c r="A156" s="23">
        <v>39655</v>
      </c>
      <c r="B156" s="2" t="s">
        <v>36</v>
      </c>
      <c r="C156" t="s">
        <v>72</v>
      </c>
      <c r="D156" t="s">
        <v>208</v>
      </c>
      <c r="E156" s="2">
        <v>45701</v>
      </c>
      <c r="F156" s="2" cm="1">
        <f t="array" ref="F156">_xlfn.IFS(B156="Owner Surrender",E156,B156="Stray",E156+6,B156="Stray w/identification",E156+11,B156="Bite",E156+10,B156="Other",E156+30,B156="BAS",E156+56,B156="Seized",E156)</f>
        <v>45701</v>
      </c>
      <c r="G156" s="2">
        <v>45706</v>
      </c>
      <c r="H156" s="5">
        <f t="shared" si="6"/>
        <v>5</v>
      </c>
      <c r="I156" s="5">
        <f t="shared" si="7"/>
        <v>5</v>
      </c>
      <c r="J156" s="2" t="s">
        <v>18</v>
      </c>
      <c r="K156" s="2" t="s">
        <v>586</v>
      </c>
      <c r="L156" t="s">
        <v>122</v>
      </c>
      <c r="AD156" s="33" t="str">
        <f t="shared" si="8"/>
        <v>Tuesday</v>
      </c>
    </row>
    <row r="157" spans="1:30" x14ac:dyDescent="0.2">
      <c r="A157" s="23">
        <v>39657</v>
      </c>
      <c r="B157" s="2" t="s">
        <v>36</v>
      </c>
      <c r="C157" t="s">
        <v>49</v>
      </c>
      <c r="D157" t="s">
        <v>207</v>
      </c>
      <c r="E157" s="2">
        <v>45702</v>
      </c>
      <c r="F157" s="2" cm="1">
        <f t="array" ref="F157">_xlfn.IFS(B157="Owner Surrender",E157,B157="Stray",E157+6,B157="Stray w/identification",E157+11,B157="Bite",E157+10,B157="Other",E157+30,B157="BAS",E157+56,B157="Seized",E157)</f>
        <v>45702</v>
      </c>
      <c r="G157" s="2">
        <v>45708</v>
      </c>
      <c r="H157" s="5">
        <f t="shared" si="6"/>
        <v>6</v>
      </c>
      <c r="I157" s="5">
        <f t="shared" si="7"/>
        <v>6</v>
      </c>
      <c r="J157" s="2" t="s">
        <v>31</v>
      </c>
      <c r="K157" s="2" t="s">
        <v>587</v>
      </c>
      <c r="L157" t="s">
        <v>269</v>
      </c>
      <c r="AD157" s="33" t="str">
        <f t="shared" si="8"/>
        <v>Thursday</v>
      </c>
    </row>
    <row r="158" spans="1:30" x14ac:dyDescent="0.2">
      <c r="A158" s="23">
        <v>39660</v>
      </c>
      <c r="B158" s="2" t="s">
        <v>36</v>
      </c>
      <c r="C158" t="s">
        <v>75</v>
      </c>
      <c r="D158" t="s">
        <v>209</v>
      </c>
      <c r="E158" s="2">
        <v>45703</v>
      </c>
      <c r="F158" s="2" cm="1">
        <f t="array" ref="F158">_xlfn.IFS(B158="Owner Surrender",E158,B158="Stray",E158+6,B158="Stray w/identification",E158+11,B158="Bite",E158+10,B158="Other",E158+30,B158="BAS",E158+56,B158="Seized",E158)</f>
        <v>45703</v>
      </c>
      <c r="G158" s="2">
        <v>45708</v>
      </c>
      <c r="H158" s="5">
        <f t="shared" si="6"/>
        <v>5</v>
      </c>
      <c r="I158" s="5">
        <f t="shared" si="7"/>
        <v>5</v>
      </c>
      <c r="J158" s="2" t="s">
        <v>31</v>
      </c>
      <c r="K158" s="2" t="s">
        <v>587</v>
      </c>
      <c r="AD158" s="33" t="str">
        <f t="shared" si="8"/>
        <v>Thursday</v>
      </c>
    </row>
    <row r="159" spans="1:30" x14ac:dyDescent="0.2">
      <c r="A159" s="23">
        <v>39663</v>
      </c>
      <c r="B159" s="2" t="s">
        <v>36</v>
      </c>
      <c r="C159" t="s">
        <v>72</v>
      </c>
      <c r="D159" t="s">
        <v>207</v>
      </c>
      <c r="E159" s="2">
        <v>45703</v>
      </c>
      <c r="F159" s="2" cm="1">
        <f t="array" ref="F159">_xlfn.IFS(B159="Owner Surrender",E159,B159="Stray",E159+6,B159="Stray w/identification",E159+11,B159="Bite",E159+10,B159="Other",E159+30,B159="BAS",E159+56,B159="Seized",E159)</f>
        <v>45703</v>
      </c>
      <c r="G159" s="2">
        <v>45708</v>
      </c>
      <c r="H159" s="5">
        <f t="shared" si="6"/>
        <v>5</v>
      </c>
      <c r="I159" s="5">
        <f t="shared" si="7"/>
        <v>5</v>
      </c>
      <c r="J159" s="2" t="s">
        <v>31</v>
      </c>
      <c r="K159" s="2" t="s">
        <v>594</v>
      </c>
      <c r="L159" t="s">
        <v>135</v>
      </c>
      <c r="M159" t="s">
        <v>443</v>
      </c>
      <c r="AD159" s="33" t="str">
        <f t="shared" si="8"/>
        <v>Thursday</v>
      </c>
    </row>
    <row r="160" spans="1:30" x14ac:dyDescent="0.2">
      <c r="A160" s="23">
        <v>39664</v>
      </c>
      <c r="B160" s="2" t="s">
        <v>179</v>
      </c>
      <c r="C160" t="s">
        <v>72</v>
      </c>
      <c r="D160" t="s">
        <v>207</v>
      </c>
      <c r="E160" s="2">
        <v>45703</v>
      </c>
      <c r="F160" s="2" cm="1">
        <f t="array" ref="F160">_xlfn.IFS(B160="Owner Surrender",E160,B160="Stray",E160+6,B160="Stray w/identification",E160+11,B160="Bite",E160+10,B160="Other",E160+30,B160="BAS",E160+56,B160="Seized",E160)</f>
        <v>45714</v>
      </c>
      <c r="G160" s="2">
        <v>45716</v>
      </c>
      <c r="H160" s="5">
        <f t="shared" si="6"/>
        <v>13</v>
      </c>
      <c r="I160" s="5">
        <f t="shared" si="7"/>
        <v>2</v>
      </c>
      <c r="J160" s="2" t="s">
        <v>31</v>
      </c>
      <c r="K160" s="2" t="s">
        <v>587</v>
      </c>
      <c r="AD160" s="33" t="str">
        <f t="shared" si="8"/>
        <v>Friday</v>
      </c>
    </row>
    <row r="161" spans="1:30" x14ac:dyDescent="0.2">
      <c r="A161" s="23">
        <v>39665</v>
      </c>
      <c r="B161" s="2" t="s">
        <v>36</v>
      </c>
      <c r="C161" t="s">
        <v>95</v>
      </c>
      <c r="D161" t="s">
        <v>207</v>
      </c>
      <c r="E161" s="2">
        <v>45705</v>
      </c>
      <c r="F161" s="2" cm="1">
        <f t="array" ref="F161">_xlfn.IFS(B161="Owner Surrender",E161,B161="Stray",E161+6,B161="Stray w/identification",E161+11,B161="Bite",E161+10,B161="Other",E161+30,B161="BAS",E161+56,B161="Seized",E161)</f>
        <v>45705</v>
      </c>
      <c r="G161" s="2">
        <v>45708</v>
      </c>
      <c r="H161" s="5">
        <f t="shared" si="6"/>
        <v>3</v>
      </c>
      <c r="I161" s="5">
        <f t="shared" si="7"/>
        <v>3</v>
      </c>
      <c r="J161" s="2" t="s">
        <v>31</v>
      </c>
      <c r="K161" s="2" t="s">
        <v>587</v>
      </c>
      <c r="L161" t="s">
        <v>442</v>
      </c>
      <c r="AD161" s="33" t="str">
        <f t="shared" si="8"/>
        <v>Thursday</v>
      </c>
    </row>
    <row r="162" spans="1:30" x14ac:dyDescent="0.2">
      <c r="A162" s="23">
        <v>39666</v>
      </c>
      <c r="B162" s="2" t="s">
        <v>36</v>
      </c>
      <c r="C162" t="s">
        <v>95</v>
      </c>
      <c r="D162" t="s">
        <v>210</v>
      </c>
      <c r="E162" s="2">
        <v>45705</v>
      </c>
      <c r="F162" s="2" cm="1">
        <f t="array" ref="F162">_xlfn.IFS(B162="Owner Surrender",E162,B162="Stray",E162+6,B162="Stray w/identification",E162+11,B162="Bite",E162+10,B162="Other",E162+30,B162="BAS",E162+56,B162="Seized",E162)</f>
        <v>45705</v>
      </c>
      <c r="G162" s="2">
        <v>45708</v>
      </c>
      <c r="H162" s="5">
        <f t="shared" si="6"/>
        <v>3</v>
      </c>
      <c r="I162" s="5">
        <f t="shared" si="7"/>
        <v>3</v>
      </c>
      <c r="J162" s="2" t="s">
        <v>31</v>
      </c>
      <c r="K162" s="2" t="s">
        <v>587</v>
      </c>
      <c r="L162" t="s">
        <v>441</v>
      </c>
      <c r="AD162" s="33" t="str">
        <f t="shared" si="8"/>
        <v>Thursday</v>
      </c>
    </row>
    <row r="163" spans="1:30" x14ac:dyDescent="0.2">
      <c r="A163" s="23">
        <v>39667</v>
      </c>
      <c r="B163" s="2" t="s">
        <v>36</v>
      </c>
      <c r="C163" t="s">
        <v>148</v>
      </c>
      <c r="D163" t="s">
        <v>207</v>
      </c>
      <c r="E163" s="2">
        <v>45705</v>
      </c>
      <c r="F163" s="2" cm="1">
        <f t="array" ref="F163">_xlfn.IFS(B163="Owner Surrender",E163,B163="Stray",E163+6,B163="Stray w/identification",E163+11,B163="Bite",E163+10,B163="Other",E163+30,B163="BAS",E163+56,B163="Seized",E163)</f>
        <v>45705</v>
      </c>
      <c r="G163" s="2">
        <v>45734</v>
      </c>
      <c r="H163" s="5">
        <f t="shared" si="6"/>
        <v>29</v>
      </c>
      <c r="I163" s="5">
        <f t="shared" si="7"/>
        <v>29</v>
      </c>
      <c r="J163" s="2" t="s">
        <v>31</v>
      </c>
      <c r="K163" s="2" t="s">
        <v>587</v>
      </c>
      <c r="L163" t="s">
        <v>440</v>
      </c>
      <c r="AD163" s="33" t="str">
        <f t="shared" si="8"/>
        <v>Tuesday</v>
      </c>
    </row>
    <row r="164" spans="1:30" x14ac:dyDescent="0.2">
      <c r="A164" s="23">
        <v>39673</v>
      </c>
      <c r="B164" s="2" t="s">
        <v>60</v>
      </c>
      <c r="C164" t="s">
        <v>49</v>
      </c>
      <c r="D164" t="s">
        <v>207</v>
      </c>
      <c r="E164" s="2">
        <v>45705</v>
      </c>
      <c r="F164" s="2" cm="1">
        <f t="array" ref="F164">_xlfn.IFS(B164="Owner Surrender",E164,B164="Stray",E164+6,B164="Stray w/identification",E164+11,B164="Bite",E164+10,B164="Other",E164+30,B164="BAS",E164+56,B164="Seized",E164)</f>
        <v>45735</v>
      </c>
      <c r="G164" s="2">
        <v>45709</v>
      </c>
      <c r="H164" s="5">
        <f t="shared" si="6"/>
        <v>4</v>
      </c>
      <c r="I164" s="5">
        <f t="shared" si="7"/>
        <v>-26</v>
      </c>
      <c r="J164" s="2" t="s">
        <v>8</v>
      </c>
      <c r="K164" s="2" t="s">
        <v>586</v>
      </c>
      <c r="AD164" s="33" t="str">
        <f t="shared" si="8"/>
        <v>Friday</v>
      </c>
    </row>
    <row r="165" spans="1:30" x14ac:dyDescent="0.2">
      <c r="A165" s="23">
        <v>39674</v>
      </c>
      <c r="B165" s="2" t="s">
        <v>60</v>
      </c>
      <c r="C165" t="s">
        <v>49</v>
      </c>
      <c r="D165" t="s">
        <v>207</v>
      </c>
      <c r="E165" s="2">
        <v>45705</v>
      </c>
      <c r="F165" s="2" cm="1">
        <f t="array" ref="F165">_xlfn.IFS(B165="Owner Surrender",E165,B165="Stray",E165+6,B165="Stray w/identification",E165+11,B165="Bite",E165+10,B165="Other",E165+30,B165="BAS",E165+56,B165="Seized",E165)</f>
        <v>45735</v>
      </c>
      <c r="G165" s="2">
        <v>45709</v>
      </c>
      <c r="H165" s="5">
        <f t="shared" si="6"/>
        <v>4</v>
      </c>
      <c r="I165" s="5">
        <f t="shared" si="7"/>
        <v>-26</v>
      </c>
      <c r="J165" s="2" t="s">
        <v>8</v>
      </c>
      <c r="K165" s="2" t="s">
        <v>586</v>
      </c>
      <c r="AD165" s="33" t="str">
        <f t="shared" si="8"/>
        <v>Friday</v>
      </c>
    </row>
    <row r="166" spans="1:30" x14ac:dyDescent="0.2">
      <c r="A166" s="23">
        <v>39675</v>
      </c>
      <c r="B166" s="2" t="s">
        <v>52</v>
      </c>
      <c r="C166" t="s">
        <v>148</v>
      </c>
      <c r="D166" t="s">
        <v>207</v>
      </c>
      <c r="E166" s="2">
        <v>45705</v>
      </c>
      <c r="F166" s="2" cm="1">
        <f t="array" ref="F166">_xlfn.IFS(B166="Owner Surrender",E166,B166="Stray",E166+6,B166="Stray w/identification",E166+11,B166="Bite",E166+10,B166="Other",E166+30,B166="BAS",E166+56,B166="Seized",E166)</f>
        <v>45705</v>
      </c>
      <c r="G166" s="2">
        <v>45706</v>
      </c>
      <c r="H166" s="5">
        <f t="shared" si="6"/>
        <v>1</v>
      </c>
      <c r="I166" s="5">
        <f t="shared" si="7"/>
        <v>1</v>
      </c>
      <c r="J166" s="2" t="s">
        <v>8</v>
      </c>
      <c r="K166" s="2" t="s">
        <v>586</v>
      </c>
      <c r="L166" t="s">
        <v>140</v>
      </c>
      <c r="AD166" s="33" t="str">
        <f t="shared" si="8"/>
        <v>Tuesday</v>
      </c>
    </row>
    <row r="167" spans="1:30" x14ac:dyDescent="0.2">
      <c r="A167" s="23">
        <v>39678</v>
      </c>
      <c r="B167" s="2" t="s">
        <v>36</v>
      </c>
      <c r="C167" t="s">
        <v>48</v>
      </c>
      <c r="D167" t="s">
        <v>209</v>
      </c>
      <c r="E167" s="2">
        <v>45706</v>
      </c>
      <c r="F167" s="2" cm="1">
        <f t="array" ref="F167">_xlfn.IFS(B167="Owner Surrender",E167,B167="Stray",E167+6,B167="Stray w/identification",E167+11,B167="Bite",E167+10,B167="Other",E167+30,B167="BAS",E167+56,B167="Seized",E167)</f>
        <v>45706</v>
      </c>
      <c r="G167" s="2">
        <v>45708</v>
      </c>
      <c r="H167" s="5">
        <f t="shared" si="6"/>
        <v>2</v>
      </c>
      <c r="I167" s="5">
        <f t="shared" si="7"/>
        <v>2</v>
      </c>
      <c r="J167" s="2" t="s">
        <v>31</v>
      </c>
      <c r="K167" s="2" t="s">
        <v>587</v>
      </c>
      <c r="L167" t="s">
        <v>439</v>
      </c>
      <c r="AD167" s="33" t="str">
        <f t="shared" si="8"/>
        <v>Thursday</v>
      </c>
    </row>
    <row r="168" spans="1:30" x14ac:dyDescent="0.2">
      <c r="A168" s="23">
        <v>39679</v>
      </c>
      <c r="B168" s="2" t="s">
        <v>36</v>
      </c>
      <c r="C168" t="s">
        <v>48</v>
      </c>
      <c r="D168" t="s">
        <v>208</v>
      </c>
      <c r="E168" s="2">
        <v>45706</v>
      </c>
      <c r="F168" s="2" cm="1">
        <f t="array" ref="F168">_xlfn.IFS(B168="Owner Surrender",E168,B168="Stray",E168+6,B168="Stray w/identification",E168+11,B168="Bite",E168+10,B168="Other",E168+30,B168="BAS",E168+56,B168="Seized",E168)</f>
        <v>45706</v>
      </c>
      <c r="G168" s="2">
        <v>45708</v>
      </c>
      <c r="H168" s="5">
        <f t="shared" si="6"/>
        <v>2</v>
      </c>
      <c r="I168" s="5">
        <f t="shared" si="7"/>
        <v>2</v>
      </c>
      <c r="J168" s="2" t="s">
        <v>31</v>
      </c>
      <c r="K168" s="2" t="s">
        <v>587</v>
      </c>
      <c r="L168" t="s">
        <v>138</v>
      </c>
      <c r="AD168" s="33" t="str">
        <f t="shared" si="8"/>
        <v>Thursday</v>
      </c>
    </row>
    <row r="169" spans="1:30" x14ac:dyDescent="0.2">
      <c r="A169" s="23">
        <v>39680</v>
      </c>
      <c r="B169" s="2" t="s">
        <v>36</v>
      </c>
      <c r="C169" t="s">
        <v>48</v>
      </c>
      <c r="D169" t="s">
        <v>208</v>
      </c>
      <c r="E169" s="2">
        <v>45706</v>
      </c>
      <c r="F169" s="2" cm="1">
        <f t="array" ref="F169">_xlfn.IFS(B169="Owner Surrender",E169,B169="Stray",E169+6,B169="Stray w/identification",E169+11,B169="Bite",E169+10,B169="Other",E169+30,B169="BAS",E169+56,B169="Seized",E169)</f>
        <v>45706</v>
      </c>
      <c r="G169" s="2">
        <v>45708</v>
      </c>
      <c r="H169" s="5">
        <f t="shared" si="6"/>
        <v>2</v>
      </c>
      <c r="I169" s="5">
        <f t="shared" si="7"/>
        <v>2</v>
      </c>
      <c r="J169" s="2" t="s">
        <v>31</v>
      </c>
      <c r="K169" s="2" t="s">
        <v>587</v>
      </c>
      <c r="L169" t="s">
        <v>438</v>
      </c>
      <c r="AD169" s="33" t="str">
        <f t="shared" si="8"/>
        <v>Thursday</v>
      </c>
    </row>
    <row r="170" spans="1:30" x14ac:dyDescent="0.2">
      <c r="A170" s="23">
        <v>39681</v>
      </c>
      <c r="B170" s="2" t="s">
        <v>36</v>
      </c>
      <c r="C170" t="s">
        <v>436</v>
      </c>
      <c r="D170" t="s">
        <v>209</v>
      </c>
      <c r="E170" s="2">
        <v>45706</v>
      </c>
      <c r="F170" s="2" cm="1">
        <f t="array" ref="F170">_xlfn.IFS(B170="Owner Surrender",E170,B170="Stray",E170+6,B170="Stray w/identification",E170+11,B170="Bite",E170+10,B170="Other",E170+30,B170="BAS",E170+56,B170="Seized",E170)</f>
        <v>45706</v>
      </c>
      <c r="G170" s="2">
        <v>45706</v>
      </c>
      <c r="H170" s="5">
        <f t="shared" si="6"/>
        <v>0</v>
      </c>
      <c r="I170" s="5">
        <f t="shared" si="7"/>
        <v>0</v>
      </c>
      <c r="J170" s="2" t="s">
        <v>31</v>
      </c>
      <c r="K170" s="2" t="s">
        <v>588</v>
      </c>
      <c r="M170" t="s">
        <v>437</v>
      </c>
      <c r="AD170" s="33" t="str">
        <f t="shared" si="8"/>
        <v>Tuesday</v>
      </c>
    </row>
    <row r="171" spans="1:30" x14ac:dyDescent="0.2">
      <c r="A171" s="23">
        <v>39682</v>
      </c>
      <c r="B171" s="2" t="s">
        <v>36</v>
      </c>
      <c r="C171" t="s">
        <v>434</v>
      </c>
      <c r="D171" t="s">
        <v>210</v>
      </c>
      <c r="E171" s="2">
        <v>45706</v>
      </c>
      <c r="F171" s="2" cm="1">
        <f t="array" ref="F171">_xlfn.IFS(B171="Owner Surrender",E171,B171="Stray",E171+6,B171="Stray w/identification",E171+11,B171="Bite",E171+10,B171="Other",E171+30,B171="BAS",E171+56,B171="Seized",E171)</f>
        <v>45706</v>
      </c>
      <c r="G171" s="2">
        <v>45708</v>
      </c>
      <c r="H171" s="5">
        <f t="shared" si="6"/>
        <v>2</v>
      </c>
      <c r="I171" s="5">
        <f t="shared" si="7"/>
        <v>2</v>
      </c>
      <c r="J171" s="2" t="s">
        <v>31</v>
      </c>
      <c r="K171" s="2" t="s">
        <v>587</v>
      </c>
      <c r="L171" t="s">
        <v>435</v>
      </c>
      <c r="AD171" s="33" t="str">
        <f t="shared" si="8"/>
        <v>Thursday</v>
      </c>
    </row>
    <row r="172" spans="1:30" x14ac:dyDescent="0.2">
      <c r="A172" s="23">
        <v>39683</v>
      </c>
      <c r="B172" s="2" t="s">
        <v>38</v>
      </c>
      <c r="C172" t="s">
        <v>487</v>
      </c>
      <c r="D172" t="s">
        <v>207</v>
      </c>
      <c r="E172" s="2">
        <v>45707</v>
      </c>
      <c r="F172" s="2" cm="1">
        <f t="array" ref="F172">_xlfn.IFS(B172="Owner Surrender",E172,B172="Stray",E172+6,B172="Stray w/identification",E172+11,B172="Bite",E172+10,B172="Other",E172+30,B172="BAS",E172+56,B172="Seized",E172)</f>
        <v>45713</v>
      </c>
      <c r="G172" s="2">
        <v>45709</v>
      </c>
      <c r="H172" s="5">
        <f t="shared" si="6"/>
        <v>2</v>
      </c>
      <c r="I172" s="5">
        <f t="shared" si="7"/>
        <v>-4</v>
      </c>
      <c r="J172" s="2" t="s">
        <v>8</v>
      </c>
      <c r="K172" s="2" t="s">
        <v>586</v>
      </c>
      <c r="AD172" s="33" t="str">
        <f t="shared" si="8"/>
        <v>Friday</v>
      </c>
    </row>
    <row r="173" spans="1:30" x14ac:dyDescent="0.2">
      <c r="A173" s="23">
        <v>39684</v>
      </c>
      <c r="B173" s="2" t="s">
        <v>36</v>
      </c>
      <c r="C173" t="s">
        <v>55</v>
      </c>
      <c r="D173" t="s">
        <v>207</v>
      </c>
      <c r="E173" s="2">
        <v>45706</v>
      </c>
      <c r="F173" s="2" cm="1">
        <f t="array" ref="F173">_xlfn.IFS(B173="Owner Surrender",E173,B173="Stray",E173+6,B173="Stray w/identification",E173+11,B173="Bite",E173+10,B173="Other",E173+30,B173="BAS",E173+56,B173="Seized",E173)</f>
        <v>45706</v>
      </c>
      <c r="G173" s="2">
        <v>45716</v>
      </c>
      <c r="H173" s="5">
        <f t="shared" si="6"/>
        <v>10</v>
      </c>
      <c r="I173" s="5">
        <f t="shared" si="7"/>
        <v>10</v>
      </c>
      <c r="J173" s="2" t="s">
        <v>31</v>
      </c>
      <c r="K173" s="2" t="s">
        <v>587</v>
      </c>
      <c r="L173" t="s">
        <v>486</v>
      </c>
      <c r="AD173" s="33" t="str">
        <f t="shared" si="8"/>
        <v>Friday</v>
      </c>
    </row>
    <row r="174" spans="1:30" x14ac:dyDescent="0.2">
      <c r="A174" s="23">
        <v>39685</v>
      </c>
      <c r="B174" s="2" t="s">
        <v>179</v>
      </c>
      <c r="C174" t="s">
        <v>48</v>
      </c>
      <c r="D174" t="s">
        <v>207</v>
      </c>
      <c r="E174" s="2">
        <v>45707</v>
      </c>
      <c r="F174" s="2" cm="1">
        <f t="array" ref="F174">_xlfn.IFS(B174="Owner Surrender",E174,B174="Stray",E174+6,B174="Stray w/identification",E174+11,B174="Bite",E174+10,B174="Other",E174+30,B174="BAS",E174+56,B174="Seized",E174)</f>
        <v>45718</v>
      </c>
      <c r="G174" s="2">
        <v>45719</v>
      </c>
      <c r="H174" s="5">
        <f t="shared" si="6"/>
        <v>12</v>
      </c>
      <c r="I174" s="5">
        <f t="shared" si="7"/>
        <v>1</v>
      </c>
      <c r="J174" s="2" t="s">
        <v>31</v>
      </c>
      <c r="K174" s="2" t="s">
        <v>587</v>
      </c>
      <c r="L174" t="s">
        <v>485</v>
      </c>
      <c r="AD174" s="33" t="str">
        <f t="shared" si="8"/>
        <v>Monday</v>
      </c>
    </row>
    <row r="175" spans="1:30" x14ac:dyDescent="0.2">
      <c r="A175" s="23">
        <v>39686</v>
      </c>
      <c r="B175" s="2" t="s">
        <v>36</v>
      </c>
      <c r="C175" t="s">
        <v>484</v>
      </c>
      <c r="D175" t="s">
        <v>210</v>
      </c>
      <c r="E175" s="2">
        <v>45707</v>
      </c>
      <c r="F175" s="2" cm="1">
        <f t="array" ref="F175">_xlfn.IFS(B175="Owner Surrender",E175,B175="Stray",E175+6,B175="Stray w/identification",E175+11,B175="Bite",E175+10,B175="Other",E175+30,B175="BAS",E175+56,B175="Seized",E175)</f>
        <v>45707</v>
      </c>
      <c r="G175" s="2">
        <v>45707</v>
      </c>
      <c r="H175" s="5">
        <f t="shared" si="6"/>
        <v>0</v>
      </c>
      <c r="I175" s="5">
        <f t="shared" si="7"/>
        <v>0</v>
      </c>
      <c r="J175" s="2" t="s">
        <v>31</v>
      </c>
      <c r="K175" s="2" t="s">
        <v>589</v>
      </c>
      <c r="M175" t="s">
        <v>453</v>
      </c>
      <c r="AD175" s="33" t="str">
        <f t="shared" si="8"/>
        <v>Wednesday</v>
      </c>
    </row>
    <row r="176" spans="1:30" x14ac:dyDescent="0.2">
      <c r="A176" s="23">
        <v>39687</v>
      </c>
      <c r="B176" s="2" t="s">
        <v>36</v>
      </c>
      <c r="C176" t="s">
        <v>167</v>
      </c>
      <c r="D176" t="s">
        <v>210</v>
      </c>
      <c r="E176" s="2">
        <v>45707</v>
      </c>
      <c r="F176" s="2" cm="1">
        <f t="array" ref="F176">_xlfn.IFS(B176="Owner Surrender",E176,B176="Stray",E176+6,B176="Stray w/identification",E176+11,B176="Bite",E176+10,B176="Other",E176+30,B176="BAS",E176+56,B176="Seized",E176)</f>
        <v>45707</v>
      </c>
      <c r="G176" s="2">
        <v>45714</v>
      </c>
      <c r="H176" s="5">
        <f t="shared" si="6"/>
        <v>7</v>
      </c>
      <c r="I176" s="5">
        <f t="shared" si="7"/>
        <v>7</v>
      </c>
      <c r="J176" s="2" t="s">
        <v>31</v>
      </c>
      <c r="K176" s="2" t="s">
        <v>587</v>
      </c>
      <c r="L176" t="s">
        <v>233</v>
      </c>
      <c r="AD176" s="33" t="str">
        <f t="shared" si="8"/>
        <v>Wednesday</v>
      </c>
    </row>
    <row r="177" spans="1:30" x14ac:dyDescent="0.2">
      <c r="A177" s="23">
        <v>39688</v>
      </c>
      <c r="B177" s="2" t="s">
        <v>36</v>
      </c>
      <c r="C177" t="s">
        <v>482</v>
      </c>
      <c r="D177" t="s">
        <v>207</v>
      </c>
      <c r="E177" s="2">
        <v>45707</v>
      </c>
      <c r="F177" s="2" cm="1">
        <f t="array" ref="F177">_xlfn.IFS(B177="Owner Surrender",E177,B177="Stray",E177+6,B177="Stray w/identification",E177+11,B177="Bite",E177+10,B177="Other",E177+30,B177="BAS",E177+56,B177="Seized",E177)</f>
        <v>45707</v>
      </c>
      <c r="G177" s="2">
        <v>45714</v>
      </c>
      <c r="H177" s="5">
        <f t="shared" si="6"/>
        <v>7</v>
      </c>
      <c r="I177" s="5">
        <f t="shared" si="7"/>
        <v>7</v>
      </c>
      <c r="J177" s="2" t="s">
        <v>31</v>
      </c>
      <c r="K177" s="2" t="s">
        <v>587</v>
      </c>
      <c r="L177" t="s">
        <v>483</v>
      </c>
      <c r="AD177" s="33" t="str">
        <f t="shared" si="8"/>
        <v>Wednesday</v>
      </c>
    </row>
    <row r="178" spans="1:30" x14ac:dyDescent="0.2">
      <c r="A178" s="23">
        <v>39689</v>
      </c>
      <c r="B178" s="2" t="s">
        <v>36</v>
      </c>
      <c r="C178" t="s">
        <v>148</v>
      </c>
      <c r="D178" t="s">
        <v>207</v>
      </c>
      <c r="E178" s="2">
        <v>45707</v>
      </c>
      <c r="F178" s="2" cm="1">
        <f t="array" ref="F178">_xlfn.IFS(B178="Owner Surrender",E178,B178="Stray",E178+6,B178="Stray w/identification",E178+11,B178="Bite",E178+10,B178="Other",E178+30,B178="BAS",E178+56,B178="Seized",E178)</f>
        <v>45707</v>
      </c>
      <c r="G178" s="2">
        <v>45714</v>
      </c>
      <c r="H178" s="5">
        <f t="shared" si="6"/>
        <v>7</v>
      </c>
      <c r="I178" s="5">
        <f t="shared" si="7"/>
        <v>7</v>
      </c>
      <c r="J178" s="2" t="s">
        <v>31</v>
      </c>
      <c r="K178" s="2" t="s">
        <v>587</v>
      </c>
      <c r="L178" t="s">
        <v>138</v>
      </c>
      <c r="AD178" s="33" t="str">
        <f t="shared" si="8"/>
        <v>Wednesday</v>
      </c>
    </row>
    <row r="179" spans="1:30" x14ac:dyDescent="0.2">
      <c r="A179" s="21">
        <v>39690</v>
      </c>
      <c r="B179" s="2" t="s">
        <v>41</v>
      </c>
      <c r="C179" t="s">
        <v>49</v>
      </c>
      <c r="D179" t="s">
        <v>210</v>
      </c>
      <c r="E179" s="2">
        <v>45709</v>
      </c>
      <c r="F179" s="2" cm="1">
        <f t="array" ref="F179">_xlfn.IFS(B179="Owner Surrender",E179,B179="Stray",E179+6,B179="Stray w/identification",E179+11,B179="Bite",E179+10,B179="Other",E179+30,B179="BAS",E179+56,B179="Seized",E179)</f>
        <v>45719</v>
      </c>
      <c r="G179" s="2">
        <v>45757</v>
      </c>
      <c r="H179" s="5">
        <f t="shared" si="6"/>
        <v>48</v>
      </c>
      <c r="I179" s="5">
        <f t="shared" si="7"/>
        <v>38</v>
      </c>
      <c r="J179" s="2" t="s">
        <v>8</v>
      </c>
      <c r="K179" s="2" t="s">
        <v>586</v>
      </c>
      <c r="AD179" s="33" t="str">
        <f t="shared" si="8"/>
        <v>Thursday</v>
      </c>
    </row>
    <row r="180" spans="1:30" x14ac:dyDescent="0.2">
      <c r="A180" s="23">
        <v>39691</v>
      </c>
      <c r="B180" s="2" t="s">
        <v>179</v>
      </c>
      <c r="C180" t="s">
        <v>78</v>
      </c>
      <c r="D180" t="s">
        <v>207</v>
      </c>
      <c r="E180" s="2">
        <v>45709</v>
      </c>
      <c r="F180" s="2" cm="1">
        <f t="array" ref="F180">_xlfn.IFS(B180="Owner Surrender",E180,B180="Stray",E180+6,B180="Stray w/identification",E180+11,B180="Bite",E180+10,B180="Other",E180+30,B180="BAS",E180+56,B180="Seized",E180)</f>
        <v>45720</v>
      </c>
      <c r="G180" s="2">
        <v>45721</v>
      </c>
      <c r="H180" s="5">
        <f t="shared" si="6"/>
        <v>12</v>
      </c>
      <c r="I180" s="5">
        <f t="shared" si="7"/>
        <v>1</v>
      </c>
      <c r="J180" s="2" t="s">
        <v>31</v>
      </c>
      <c r="K180" s="2" t="s">
        <v>587</v>
      </c>
      <c r="AD180" s="33" t="str">
        <f t="shared" si="8"/>
        <v>Wednesday</v>
      </c>
    </row>
    <row r="181" spans="1:30" x14ac:dyDescent="0.2">
      <c r="A181" s="23">
        <v>39692</v>
      </c>
      <c r="B181" s="2" t="s">
        <v>36</v>
      </c>
      <c r="C181" t="s">
        <v>479</v>
      </c>
      <c r="D181" t="s">
        <v>207</v>
      </c>
      <c r="E181" s="2">
        <v>45709</v>
      </c>
      <c r="F181" s="2" cm="1">
        <f t="array" ref="F181">_xlfn.IFS(B181="Owner Surrender",E181,B181="Stray",E181+6,B181="Stray w/identification",E181+11,B181="Bite",E181+10,B181="Other",E181+30,B181="BAS",E181+56,B181="Seized",E181)</f>
        <v>45709</v>
      </c>
      <c r="G181" s="2">
        <v>45714</v>
      </c>
      <c r="H181" s="5">
        <f t="shared" si="6"/>
        <v>5</v>
      </c>
      <c r="I181" s="5">
        <f t="shared" si="7"/>
        <v>5</v>
      </c>
      <c r="J181" s="2" t="s">
        <v>31</v>
      </c>
      <c r="K181" s="2" t="s">
        <v>587</v>
      </c>
      <c r="L181" t="s">
        <v>481</v>
      </c>
      <c r="AD181" s="33" t="str">
        <f t="shared" si="8"/>
        <v>Wednesday</v>
      </c>
    </row>
    <row r="182" spans="1:30" x14ac:dyDescent="0.2">
      <c r="A182" s="23">
        <v>39693</v>
      </c>
      <c r="B182" s="2" t="s">
        <v>36</v>
      </c>
      <c r="C182" t="s">
        <v>479</v>
      </c>
      <c r="D182" t="s">
        <v>207</v>
      </c>
      <c r="E182" s="2">
        <v>45709</v>
      </c>
      <c r="F182" s="2" cm="1">
        <f t="array" ref="F182">_xlfn.IFS(B182="Owner Surrender",E182,B182="Stray",E182+6,B182="Stray w/identification",E182+11,B182="Bite",E182+10,B182="Other",E182+30,B182="BAS",E182+56,B182="Seized",E182)</f>
        <v>45709</v>
      </c>
      <c r="G182" s="2">
        <v>45714</v>
      </c>
      <c r="H182" s="5">
        <f t="shared" si="6"/>
        <v>5</v>
      </c>
      <c r="I182" s="5">
        <f t="shared" si="7"/>
        <v>5</v>
      </c>
      <c r="J182" s="2" t="s">
        <v>31</v>
      </c>
      <c r="K182" s="2" t="s">
        <v>587</v>
      </c>
      <c r="AD182" s="33" t="str">
        <f t="shared" si="8"/>
        <v>Wednesday</v>
      </c>
    </row>
    <row r="183" spans="1:30" x14ac:dyDescent="0.2">
      <c r="A183" s="23">
        <v>39694</v>
      </c>
      <c r="B183" s="2" t="s">
        <v>36</v>
      </c>
      <c r="C183" t="s">
        <v>479</v>
      </c>
      <c r="D183" t="s">
        <v>207</v>
      </c>
      <c r="E183" s="2">
        <v>45709</v>
      </c>
      <c r="F183" s="2" cm="1">
        <f t="array" ref="F183">_xlfn.IFS(B183="Owner Surrender",E183,B183="Stray",E183+6,B183="Stray w/identification",E183+11,B183="Bite",E183+10,B183="Other",E183+30,B183="BAS",E183+56,B183="Seized",E183)</f>
        <v>45709</v>
      </c>
      <c r="G183" s="2">
        <v>45714</v>
      </c>
      <c r="H183" s="5">
        <f t="shared" si="6"/>
        <v>5</v>
      </c>
      <c r="I183" s="5">
        <f t="shared" si="7"/>
        <v>5</v>
      </c>
      <c r="J183" s="2" t="s">
        <v>31</v>
      </c>
      <c r="K183" s="2" t="s">
        <v>587</v>
      </c>
      <c r="L183" t="s">
        <v>480</v>
      </c>
      <c r="AD183" s="33" t="str">
        <f t="shared" si="8"/>
        <v>Wednesday</v>
      </c>
    </row>
    <row r="184" spans="1:30" x14ac:dyDescent="0.2">
      <c r="A184" s="23">
        <v>39696</v>
      </c>
      <c r="B184" s="2" t="s">
        <v>179</v>
      </c>
      <c r="C184" t="s">
        <v>505</v>
      </c>
      <c r="D184" t="s">
        <v>208</v>
      </c>
      <c r="E184" s="2">
        <v>45710</v>
      </c>
      <c r="F184" s="2" cm="1">
        <f t="array" ref="F184">_xlfn.IFS(B184="Owner Surrender",E184,B184="Stray",E184+6,B184="Stray w/identification",E184+11,B184="Bite",E184+10,B184="Other",E184+30,B184="BAS",E184+56,B184="Seized",E184)</f>
        <v>45721</v>
      </c>
      <c r="G184" s="2">
        <v>45742</v>
      </c>
      <c r="H184" s="5">
        <f t="shared" si="6"/>
        <v>32</v>
      </c>
      <c r="I184" s="5">
        <f t="shared" si="7"/>
        <v>21</v>
      </c>
      <c r="J184" s="2" t="s">
        <v>18</v>
      </c>
      <c r="K184" s="2" t="s">
        <v>586</v>
      </c>
      <c r="AD184" s="33" t="str">
        <f t="shared" si="8"/>
        <v>Wednesday</v>
      </c>
    </row>
    <row r="185" spans="1:30" x14ac:dyDescent="0.2">
      <c r="A185" s="23">
        <v>39699</v>
      </c>
      <c r="B185" s="2" t="s">
        <v>38</v>
      </c>
      <c r="C185" t="s">
        <v>476</v>
      </c>
      <c r="D185" t="s">
        <v>207</v>
      </c>
      <c r="E185" s="2">
        <v>45710</v>
      </c>
      <c r="F185" s="2" cm="1">
        <f t="array" ref="F185">_xlfn.IFS(B185="Owner Surrender",E185,B185="Stray",E185+6,B185="Stray w/identification",E185+11,B185="Bite",E185+10,B185="Other",E185+30,B185="BAS",E185+56,B185="Seized",E185)</f>
        <v>45716</v>
      </c>
      <c r="G185" s="2">
        <v>45719</v>
      </c>
      <c r="H185" s="5">
        <f t="shared" si="6"/>
        <v>9</v>
      </c>
      <c r="I185" s="5">
        <f t="shared" si="7"/>
        <v>3</v>
      </c>
      <c r="J185" s="2" t="s">
        <v>31</v>
      </c>
      <c r="K185" s="2" t="s">
        <v>588</v>
      </c>
      <c r="L185" t="s">
        <v>477</v>
      </c>
      <c r="M185" t="s">
        <v>478</v>
      </c>
      <c r="AD185" s="33" t="str">
        <f t="shared" si="8"/>
        <v>Monday</v>
      </c>
    </row>
    <row r="186" spans="1:30" x14ac:dyDescent="0.2">
      <c r="A186" s="23">
        <v>39700</v>
      </c>
      <c r="B186" s="2" t="s">
        <v>38</v>
      </c>
      <c r="C186" t="s">
        <v>48</v>
      </c>
      <c r="D186" t="s">
        <v>207</v>
      </c>
      <c r="E186" s="2">
        <v>45710</v>
      </c>
      <c r="F186" s="2" cm="1">
        <f t="array" ref="F186">_xlfn.IFS(B186="Owner Surrender",E186,B186="Stray",E186+6,B186="Stray w/identification",E186+11,B186="Bite",E186+10,B186="Other",E186+30,B186="BAS",E186+56,B186="Seized",E186)</f>
        <v>45716</v>
      </c>
      <c r="G186" s="2">
        <v>45724</v>
      </c>
      <c r="H186" s="5">
        <f t="shared" si="6"/>
        <v>14</v>
      </c>
      <c r="I186" s="5">
        <f t="shared" si="7"/>
        <v>8</v>
      </c>
      <c r="J186" s="2" t="s">
        <v>11</v>
      </c>
      <c r="K186" s="2" t="s">
        <v>586</v>
      </c>
      <c r="L186" t="s">
        <v>22</v>
      </c>
      <c r="AD186" s="33" t="str">
        <f t="shared" si="8"/>
        <v>Saturday</v>
      </c>
    </row>
    <row r="187" spans="1:30" x14ac:dyDescent="0.2">
      <c r="A187" s="23">
        <v>39701</v>
      </c>
      <c r="B187" s="2" t="s">
        <v>179</v>
      </c>
      <c r="C187" t="s">
        <v>474</v>
      </c>
      <c r="D187" t="s">
        <v>207</v>
      </c>
      <c r="E187" s="2">
        <v>45710</v>
      </c>
      <c r="F187" s="2" cm="1">
        <f t="array" ref="F187">_xlfn.IFS(B187="Owner Surrender",E187,B187="Stray",E187+6,B187="Stray w/identification",E187+11,B187="Bite",E187+10,B187="Other",E187+30,B187="BAS",E187+56,B187="Seized",E187)</f>
        <v>45721</v>
      </c>
      <c r="G187" s="2">
        <v>45714</v>
      </c>
      <c r="H187" s="5">
        <f t="shared" si="6"/>
        <v>4</v>
      </c>
      <c r="I187" s="5">
        <f t="shared" si="7"/>
        <v>-7</v>
      </c>
      <c r="J187" s="2" t="s">
        <v>8</v>
      </c>
      <c r="K187" s="2" t="s">
        <v>586</v>
      </c>
      <c r="L187" t="s">
        <v>475</v>
      </c>
      <c r="AD187" s="33" t="str">
        <f t="shared" si="8"/>
        <v>Wednesday</v>
      </c>
    </row>
    <row r="188" spans="1:30" x14ac:dyDescent="0.2">
      <c r="A188" s="23">
        <v>39702</v>
      </c>
      <c r="B188" s="2" t="s">
        <v>38</v>
      </c>
      <c r="C188" t="s">
        <v>51</v>
      </c>
      <c r="D188" t="s">
        <v>207</v>
      </c>
      <c r="E188" s="2">
        <v>45710</v>
      </c>
      <c r="F188" s="2" cm="1">
        <f t="array" ref="F188">_xlfn.IFS(B188="Owner Surrender",E188,B188="Stray",E188+6,B188="Stray w/identification",E188+11,B188="Bite",E188+10,B188="Other",E188+30,B188="BAS",E188+56,B188="Seized",E188)</f>
        <v>45716</v>
      </c>
      <c r="G188" s="2">
        <v>45714</v>
      </c>
      <c r="H188" s="5">
        <f t="shared" si="6"/>
        <v>4</v>
      </c>
      <c r="I188" s="5">
        <f t="shared" si="7"/>
        <v>-2</v>
      </c>
      <c r="J188" s="2" t="s">
        <v>8</v>
      </c>
      <c r="K188" s="2" t="s">
        <v>586</v>
      </c>
      <c r="AD188" s="33" t="str">
        <f t="shared" si="8"/>
        <v>Wednesday</v>
      </c>
    </row>
    <row r="189" spans="1:30" x14ac:dyDescent="0.2">
      <c r="A189" s="23">
        <v>39703</v>
      </c>
      <c r="B189" s="2" t="s">
        <v>38</v>
      </c>
      <c r="C189" t="s">
        <v>169</v>
      </c>
      <c r="D189" t="s">
        <v>207</v>
      </c>
      <c r="E189" s="2">
        <v>45711</v>
      </c>
      <c r="F189" s="2" cm="1">
        <f t="array" ref="F189">_xlfn.IFS(B189="Owner Surrender",E189,B189="Stray",E189+6,B189="Stray w/identification",E189+11,B189="Bite",E189+10,B189="Other",E189+30,B189="BAS",E189+56,B189="Seized",E189)</f>
        <v>45717</v>
      </c>
      <c r="G189" s="2">
        <v>45727</v>
      </c>
      <c r="H189" s="5">
        <f t="shared" si="6"/>
        <v>16</v>
      </c>
      <c r="I189" s="5">
        <f t="shared" si="7"/>
        <v>10</v>
      </c>
      <c r="J189" s="2" t="s">
        <v>11</v>
      </c>
      <c r="K189" s="2" t="s">
        <v>586</v>
      </c>
      <c r="L189" t="s">
        <v>85</v>
      </c>
      <c r="AD189" s="33" t="str">
        <f t="shared" si="8"/>
        <v>Tuesday</v>
      </c>
    </row>
    <row r="190" spans="1:30" x14ac:dyDescent="0.2">
      <c r="A190" s="23">
        <v>39705</v>
      </c>
      <c r="B190" s="2" t="s">
        <v>38</v>
      </c>
      <c r="C190" t="s">
        <v>148</v>
      </c>
      <c r="D190" t="s">
        <v>208</v>
      </c>
      <c r="E190" s="2">
        <v>45711</v>
      </c>
      <c r="F190" s="2" cm="1">
        <f t="array" ref="F190">_xlfn.IFS(B190="Owner Surrender",E190,B190="Stray",E190+6,B190="Stray w/identification",E190+11,B190="Bite",E190+10,B190="Other",E190+30,B190="BAS",E190+56,B190="Seized",E190)</f>
        <v>45717</v>
      </c>
      <c r="G190" s="2">
        <v>45727</v>
      </c>
      <c r="H190" s="5">
        <f t="shared" si="6"/>
        <v>16</v>
      </c>
      <c r="I190" s="5">
        <f t="shared" si="7"/>
        <v>10</v>
      </c>
      <c r="J190" s="2" t="s">
        <v>31</v>
      </c>
      <c r="K190" s="2" t="s">
        <v>587</v>
      </c>
      <c r="L190" t="s">
        <v>473</v>
      </c>
      <c r="AD190" s="33" t="str">
        <f t="shared" si="8"/>
        <v>Tuesday</v>
      </c>
    </row>
    <row r="191" spans="1:30" x14ac:dyDescent="0.2">
      <c r="A191" s="23">
        <v>39706</v>
      </c>
      <c r="B191" s="2" t="s">
        <v>38</v>
      </c>
      <c r="C191" t="s">
        <v>148</v>
      </c>
      <c r="D191" t="s">
        <v>208</v>
      </c>
      <c r="E191" s="2">
        <v>45711</v>
      </c>
      <c r="F191" s="2" cm="1">
        <f t="array" ref="F191">_xlfn.IFS(B191="Owner Surrender",E191,B191="Stray",E191+6,B191="Stray w/identification",E191+11,B191="Bite",E191+10,B191="Other",E191+30,B191="BAS",E191+56,B191="Seized",E191)</f>
        <v>45717</v>
      </c>
      <c r="G191" s="2">
        <v>45723</v>
      </c>
      <c r="H191" s="5">
        <f t="shared" si="6"/>
        <v>12</v>
      </c>
      <c r="I191" s="5">
        <f t="shared" si="7"/>
        <v>6</v>
      </c>
      <c r="J191" s="2" t="s">
        <v>11</v>
      </c>
      <c r="K191" s="2" t="s">
        <v>586</v>
      </c>
      <c r="L191" t="s">
        <v>14</v>
      </c>
      <c r="AD191" s="33" t="str">
        <f t="shared" si="8"/>
        <v>Friday</v>
      </c>
    </row>
    <row r="192" spans="1:30" x14ac:dyDescent="0.2">
      <c r="A192" s="23">
        <v>39709</v>
      </c>
      <c r="B192" s="2" t="s">
        <v>38</v>
      </c>
      <c r="C192" t="s">
        <v>108</v>
      </c>
      <c r="D192" t="s">
        <v>207</v>
      </c>
      <c r="E192" s="2">
        <v>45712</v>
      </c>
      <c r="F192" s="2" cm="1">
        <f t="array" ref="F192">_xlfn.IFS(B192="Owner Surrender",E192,B192="Stray",E192+6,B192="Stray w/identification",E192+11,B192="Bite",E192+10,B192="Other",E192+30,B192="BAS",E192+56,B192="Seized",E192)</f>
        <v>45718</v>
      </c>
      <c r="G192" s="2">
        <v>45740</v>
      </c>
      <c r="H192" s="5">
        <f t="shared" si="6"/>
        <v>28</v>
      </c>
      <c r="I192" s="5">
        <f t="shared" si="7"/>
        <v>22</v>
      </c>
      <c r="J192" s="2" t="s">
        <v>18</v>
      </c>
      <c r="K192" s="2" t="s">
        <v>586</v>
      </c>
      <c r="L192" t="s">
        <v>504</v>
      </c>
      <c r="AD192" s="33" t="str">
        <f t="shared" si="8"/>
        <v>Monday</v>
      </c>
    </row>
    <row r="193" spans="1:30" x14ac:dyDescent="0.2">
      <c r="A193" s="23">
        <v>39710</v>
      </c>
      <c r="B193" s="2" t="s">
        <v>38</v>
      </c>
      <c r="C193" t="s">
        <v>108</v>
      </c>
      <c r="D193" t="s">
        <v>207</v>
      </c>
      <c r="E193" s="2">
        <v>45712</v>
      </c>
      <c r="F193" s="2" cm="1">
        <f t="array" ref="F193">_xlfn.IFS(B193="Owner Surrender",E193,B193="Stray",E193+6,B193="Stray w/identification",E193+11,B193="Bite",E193+10,B193="Other",E193+30,B193="BAS",E193+56,B193="Seized",E193)</f>
        <v>45718</v>
      </c>
      <c r="G193" s="2">
        <v>45740</v>
      </c>
      <c r="H193" s="5">
        <f t="shared" si="6"/>
        <v>28</v>
      </c>
      <c r="I193" s="5">
        <f t="shared" si="7"/>
        <v>22</v>
      </c>
      <c r="J193" s="2" t="s">
        <v>18</v>
      </c>
      <c r="K193" s="2" t="s">
        <v>586</v>
      </c>
      <c r="L193" t="s">
        <v>90</v>
      </c>
      <c r="AD193" s="33" t="str">
        <f t="shared" si="8"/>
        <v>Monday</v>
      </c>
    </row>
    <row r="194" spans="1:30" x14ac:dyDescent="0.2">
      <c r="A194" s="23">
        <v>39711</v>
      </c>
      <c r="B194" s="2" t="s">
        <v>38</v>
      </c>
      <c r="C194" t="s">
        <v>501</v>
      </c>
      <c r="D194" t="s">
        <v>207</v>
      </c>
      <c r="E194" s="2">
        <v>45712</v>
      </c>
      <c r="F194" s="2" cm="1">
        <f t="array" ref="F194">_xlfn.IFS(B194="Owner Surrender",E194,B194="Stray",E194+6,B194="Stray w/identification",E194+11,B194="Bite",E194+10,B194="Other",E194+30,B194="BAS",E194+56,B194="Seized",E194)</f>
        <v>45718</v>
      </c>
      <c r="G194" s="2">
        <v>45733</v>
      </c>
      <c r="H194" s="5">
        <f t="shared" si="6"/>
        <v>21</v>
      </c>
      <c r="I194" s="5">
        <f t="shared" si="7"/>
        <v>15</v>
      </c>
      <c r="J194" s="2" t="s">
        <v>18</v>
      </c>
      <c r="K194" s="2" t="s">
        <v>586</v>
      </c>
      <c r="L194" t="s">
        <v>503</v>
      </c>
      <c r="AD194" s="33" t="str">
        <f t="shared" si="8"/>
        <v>Monday</v>
      </c>
    </row>
    <row r="195" spans="1:30" x14ac:dyDescent="0.2">
      <c r="A195" s="23">
        <v>39712</v>
      </c>
      <c r="B195" s="2" t="s">
        <v>38</v>
      </c>
      <c r="C195" t="s">
        <v>501</v>
      </c>
      <c r="D195" t="s">
        <v>207</v>
      </c>
      <c r="E195" s="2">
        <v>45712</v>
      </c>
      <c r="F195" s="2" cm="1">
        <f t="array" ref="F195">_xlfn.IFS(B195="Owner Surrender",E195,B195="Stray",E195+6,B195="Stray w/identification",E195+11,B195="Bite",E195+10,B195="Other",E195+30,B195="BAS",E195+56,B195="Seized",E195)</f>
        <v>45718</v>
      </c>
      <c r="G195" s="2">
        <v>45733</v>
      </c>
      <c r="H195" s="5">
        <f t="shared" ref="H195:H258" si="9">+G195-E195</f>
        <v>21</v>
      </c>
      <c r="I195" s="5">
        <f t="shared" ref="I195:I258" si="10">G195-F195</f>
        <v>15</v>
      </c>
      <c r="J195" s="2" t="s">
        <v>18</v>
      </c>
      <c r="K195" s="2" t="s">
        <v>586</v>
      </c>
      <c r="L195" t="s">
        <v>502</v>
      </c>
      <c r="AD195" s="33" t="str">
        <f t="shared" si="8"/>
        <v>Monday</v>
      </c>
    </row>
    <row r="196" spans="1:30" x14ac:dyDescent="0.2">
      <c r="A196" s="23">
        <v>39715</v>
      </c>
      <c r="B196" s="2" t="s">
        <v>36</v>
      </c>
      <c r="C196" t="s">
        <v>49</v>
      </c>
      <c r="D196" t="s">
        <v>207</v>
      </c>
      <c r="E196" s="2">
        <v>45712</v>
      </c>
      <c r="F196" s="2" cm="1">
        <f t="array" ref="F196">_xlfn.IFS(B196="Owner Surrender",E196,B196="Stray",E196+6,B196="Stray w/identification",E196+11,B196="Bite",E196+10,B196="Other",E196+30,B196="BAS",E196+56,B196="Seized",E196)</f>
        <v>45712</v>
      </c>
      <c r="G196" s="2">
        <v>45727</v>
      </c>
      <c r="H196" s="5">
        <f t="shared" si="9"/>
        <v>15</v>
      </c>
      <c r="I196" s="5">
        <f t="shared" si="10"/>
        <v>15</v>
      </c>
      <c r="J196" s="2" t="s">
        <v>31</v>
      </c>
      <c r="K196" s="2" t="s">
        <v>587</v>
      </c>
      <c r="L196" t="s">
        <v>459</v>
      </c>
      <c r="AD196" s="33" t="str">
        <f t="shared" ref="AD196:AD259" si="11">TEXT(G196,"DDDD")</f>
        <v>Tuesday</v>
      </c>
    </row>
    <row r="197" spans="1:30" x14ac:dyDescent="0.2">
      <c r="A197" s="23">
        <v>39716</v>
      </c>
      <c r="B197" s="2" t="s">
        <v>36</v>
      </c>
      <c r="C197" t="s">
        <v>48</v>
      </c>
      <c r="D197" t="s">
        <v>207</v>
      </c>
      <c r="E197" s="2">
        <v>45712</v>
      </c>
      <c r="F197" s="2" cm="1">
        <f t="array" ref="F197">_xlfn.IFS(B197="Owner Surrender",E197,B197="Stray",E197+6,B197="Stray w/identification",E197+11,B197="Bite",E197+10,B197="Other",E197+30,B197="BAS",E197+56,B197="Seized",E197)</f>
        <v>45712</v>
      </c>
      <c r="G197" s="2">
        <v>45714</v>
      </c>
      <c r="H197" s="5">
        <f t="shared" si="9"/>
        <v>2</v>
      </c>
      <c r="I197" s="5">
        <f t="shared" si="10"/>
        <v>2</v>
      </c>
      <c r="J197" s="2" t="s">
        <v>31</v>
      </c>
      <c r="K197" s="2" t="s">
        <v>594</v>
      </c>
      <c r="L197" t="s">
        <v>471</v>
      </c>
      <c r="M197" t="s">
        <v>472</v>
      </c>
      <c r="AD197" s="33" t="str">
        <f t="shared" si="11"/>
        <v>Wednesday</v>
      </c>
    </row>
    <row r="198" spans="1:30" x14ac:dyDescent="0.2">
      <c r="A198" s="23">
        <v>39717</v>
      </c>
      <c r="B198" s="2" t="s">
        <v>38</v>
      </c>
      <c r="C198" t="s">
        <v>148</v>
      </c>
      <c r="D198" t="s">
        <v>207</v>
      </c>
      <c r="E198" s="2">
        <v>45712</v>
      </c>
      <c r="F198" s="2" cm="1">
        <f t="array" ref="F198">_xlfn.IFS(B198="Owner Surrender",E198,B198="Stray",E198+6,B198="Stray w/identification",E198+11,B198="Bite",E198+10,B198="Other",E198+30,B198="BAS",E198+56,B198="Seized",E198)</f>
        <v>45718</v>
      </c>
      <c r="G198" s="2">
        <v>45721</v>
      </c>
      <c r="H198" s="5">
        <f t="shared" si="9"/>
        <v>9</v>
      </c>
      <c r="I198" s="5">
        <f t="shared" si="10"/>
        <v>3</v>
      </c>
      <c r="J198" s="2" t="s">
        <v>31</v>
      </c>
      <c r="K198" s="2" t="s">
        <v>587</v>
      </c>
      <c r="L198" t="s">
        <v>470</v>
      </c>
      <c r="AD198" s="33" t="str">
        <f t="shared" si="11"/>
        <v>Wednesday</v>
      </c>
    </row>
    <row r="199" spans="1:30" x14ac:dyDescent="0.2">
      <c r="A199" s="23">
        <v>39718</v>
      </c>
      <c r="B199" s="2" t="s">
        <v>38</v>
      </c>
      <c r="C199" t="s">
        <v>55</v>
      </c>
      <c r="D199" t="s">
        <v>207</v>
      </c>
      <c r="E199" s="2">
        <v>45712</v>
      </c>
      <c r="F199" s="2" cm="1">
        <f t="array" ref="F199">_xlfn.IFS(B199="Owner Surrender",E199,B199="Stray",E199+6,B199="Stray w/identification",E199+11,B199="Bite",E199+10,B199="Other",E199+30,B199="BAS",E199+56,B199="Seized",E199)</f>
        <v>45718</v>
      </c>
      <c r="G199" s="2">
        <v>45730</v>
      </c>
      <c r="H199" s="5">
        <f t="shared" si="9"/>
        <v>18</v>
      </c>
      <c r="I199" s="5">
        <f t="shared" si="10"/>
        <v>12</v>
      </c>
      <c r="J199" s="2" t="s">
        <v>31</v>
      </c>
      <c r="K199" s="2" t="s">
        <v>587</v>
      </c>
      <c r="L199" t="s">
        <v>469</v>
      </c>
      <c r="AD199" s="33" t="str">
        <f t="shared" si="11"/>
        <v>Friday</v>
      </c>
    </row>
    <row r="200" spans="1:30" x14ac:dyDescent="0.2">
      <c r="A200" s="23">
        <v>39725</v>
      </c>
      <c r="B200" s="2" t="s">
        <v>38</v>
      </c>
      <c r="C200" t="s">
        <v>72</v>
      </c>
      <c r="D200" t="s">
        <v>207</v>
      </c>
      <c r="E200" s="2">
        <v>45713</v>
      </c>
      <c r="F200" s="2" cm="1">
        <f t="array" ref="F200">_xlfn.IFS(B200="Owner Surrender",E200,B200="Stray",E200+6,B200="Stray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="9"/>
        <v>8</v>
      </c>
      <c r="I200" s="5">
        <f t="shared" si="10"/>
        <v>2</v>
      </c>
      <c r="J200" s="2" t="s">
        <v>31</v>
      </c>
      <c r="K200" s="2" t="s">
        <v>587</v>
      </c>
      <c r="AD200" s="33" t="str">
        <f t="shared" si="11"/>
        <v>Wednesday</v>
      </c>
    </row>
    <row r="201" spans="1:30" x14ac:dyDescent="0.2">
      <c r="A201" s="23">
        <v>39726</v>
      </c>
      <c r="B201" s="2" t="s">
        <v>38</v>
      </c>
      <c r="C201" t="s">
        <v>72</v>
      </c>
      <c r="D201" t="s">
        <v>207</v>
      </c>
      <c r="E201" s="2">
        <v>45713</v>
      </c>
      <c r="F201" s="2" cm="1">
        <f t="array" ref="F201">_xlfn.IFS(B201="Owner Surrender",E201,B201="Stray",E201+6,B201="Stray w/identification",E201+11,B201="Bite",E201+10,B201="Other",E201+30,B201="BAS",E201+56,B201="Seized",E201)</f>
        <v>45719</v>
      </c>
      <c r="G201" s="2">
        <v>45716</v>
      </c>
      <c r="H201" s="5">
        <f t="shared" si="9"/>
        <v>3</v>
      </c>
      <c r="I201" s="5">
        <f t="shared" si="10"/>
        <v>-3</v>
      </c>
      <c r="J201" s="2" t="s">
        <v>31</v>
      </c>
      <c r="K201" s="2" t="s">
        <v>588</v>
      </c>
      <c r="M201" t="s">
        <v>468</v>
      </c>
      <c r="AD201" s="33" t="str">
        <f t="shared" si="11"/>
        <v>Friday</v>
      </c>
    </row>
    <row r="202" spans="1:30" x14ac:dyDescent="0.2">
      <c r="A202" s="23">
        <v>39727</v>
      </c>
      <c r="B202" s="2" t="s">
        <v>36</v>
      </c>
      <c r="C202" t="s">
        <v>466</v>
      </c>
      <c r="D202" t="s">
        <v>207</v>
      </c>
      <c r="E202" s="2">
        <v>45713</v>
      </c>
      <c r="F202" s="2" cm="1">
        <f t="array" ref="F202">_xlfn.IFS(B202="Owner Surrender",E202,B202="Stray",E202+6,B202="Stray w/identification",E202+11,B202="Bite",E202+10,B202="Other",E202+30,B202="BAS",E202+56,B202="Seized",E202)</f>
        <v>45713</v>
      </c>
      <c r="G202" s="2">
        <v>45716</v>
      </c>
      <c r="H202" s="5">
        <f t="shared" si="9"/>
        <v>3</v>
      </c>
      <c r="I202" s="5">
        <f t="shared" si="10"/>
        <v>3</v>
      </c>
      <c r="J202" s="2" t="s">
        <v>31</v>
      </c>
      <c r="K202" s="2" t="s">
        <v>594</v>
      </c>
      <c r="L202" t="s">
        <v>232</v>
      </c>
      <c r="M202" t="s">
        <v>467</v>
      </c>
      <c r="AD202" s="33" t="str">
        <f t="shared" si="11"/>
        <v>Friday</v>
      </c>
    </row>
    <row r="203" spans="1:30" x14ac:dyDescent="0.2">
      <c r="A203" s="23">
        <v>39731</v>
      </c>
      <c r="B203" s="2" t="s">
        <v>179</v>
      </c>
      <c r="C203" t="s">
        <v>72</v>
      </c>
      <c r="D203" t="s">
        <v>207</v>
      </c>
      <c r="E203" s="2">
        <v>45714</v>
      </c>
      <c r="F203" s="2" cm="1">
        <f t="array" ref="F203">_xlfn.IFS(B203="Owner Surrender",E203,B203="Stray",E203+6,B203="Stray w/identification",E203+11,B203="Bite",E203+10,B203="Other",E203+30,B203="BAS",E203+56,B203="Seized",E203)</f>
        <v>45725</v>
      </c>
      <c r="G203" s="2">
        <v>45737</v>
      </c>
      <c r="H203" s="5">
        <f t="shared" si="9"/>
        <v>23</v>
      </c>
      <c r="I203" s="5">
        <f t="shared" si="10"/>
        <v>12</v>
      </c>
      <c r="J203" s="2" t="s">
        <v>31</v>
      </c>
      <c r="K203" s="2" t="s">
        <v>587</v>
      </c>
      <c r="AD203" s="33" t="str">
        <f t="shared" si="11"/>
        <v>Friday</v>
      </c>
    </row>
    <row r="204" spans="1:30" x14ac:dyDescent="0.2">
      <c r="A204" s="23">
        <v>39732</v>
      </c>
      <c r="B204" s="2" t="s">
        <v>36</v>
      </c>
      <c r="C204" t="s">
        <v>89</v>
      </c>
      <c r="D204" t="s">
        <v>210</v>
      </c>
      <c r="E204" s="2">
        <v>45714</v>
      </c>
      <c r="F204" s="2" cm="1">
        <f t="array" ref="F204">_xlfn.IFS(B204="Owner Surrender",E204,B204="Stray",E204+6,B204="Stray w/identification",E204+11,B204="Bite",E204+10,B204="Other",E204+30,B204="BAS",E204+56,B204="Seized",E204)</f>
        <v>45714</v>
      </c>
      <c r="G204" s="2">
        <v>45714</v>
      </c>
      <c r="H204" s="5">
        <f t="shared" si="9"/>
        <v>0</v>
      </c>
      <c r="I204" s="5">
        <f t="shared" si="10"/>
        <v>0</v>
      </c>
      <c r="J204" s="2" t="s">
        <v>31</v>
      </c>
      <c r="K204" s="2" t="s">
        <v>589</v>
      </c>
      <c r="M204" t="s">
        <v>453</v>
      </c>
      <c r="AD204" s="33" t="str">
        <f t="shared" si="11"/>
        <v>Wednesday</v>
      </c>
    </row>
    <row r="205" spans="1:30" x14ac:dyDescent="0.2">
      <c r="A205" s="23">
        <v>39744</v>
      </c>
      <c r="B205" s="2" t="s">
        <v>52</v>
      </c>
      <c r="C205" t="s">
        <v>49</v>
      </c>
      <c r="D205" t="s">
        <v>207</v>
      </c>
      <c r="E205" s="2">
        <v>45715</v>
      </c>
      <c r="F205" s="2" cm="1">
        <f t="array" ref="F205">_xlfn.IFS(B205="Owner Surrender",E205,B205="Stray",E205+6,B205="Stray w/identification",E205+11,B205="Bite",E205+10,B205="Other",E205+30,B205="BAS",E205+56,B205="Seized",E205)</f>
        <v>45715</v>
      </c>
      <c r="G205" s="2">
        <v>45716</v>
      </c>
      <c r="H205" s="5">
        <f t="shared" si="9"/>
        <v>1</v>
      </c>
      <c r="I205" s="5">
        <f t="shared" si="10"/>
        <v>1</v>
      </c>
      <c r="J205" s="2" t="s">
        <v>31</v>
      </c>
      <c r="K205" s="2" t="s">
        <v>587</v>
      </c>
      <c r="AD205" s="33" t="str">
        <f t="shared" si="11"/>
        <v>Friday</v>
      </c>
    </row>
    <row r="206" spans="1:30" x14ac:dyDescent="0.2">
      <c r="A206" s="23">
        <v>39745</v>
      </c>
      <c r="B206" s="2" t="s">
        <v>52</v>
      </c>
      <c r="C206" t="s">
        <v>169</v>
      </c>
      <c r="D206" t="s">
        <v>207</v>
      </c>
      <c r="E206" s="2">
        <v>45715</v>
      </c>
      <c r="F206" s="2" cm="1">
        <f t="array" ref="F206">_xlfn.IFS(B206="Owner Surrender",E206,B206="Stray",E206+6,B206="Stray w/identification",E206+11,B206="Bite",E206+10,B206="Other",E206+30,B206="BAS",E206+56,B206="Seized",E206)</f>
        <v>45715</v>
      </c>
      <c r="G206" s="2">
        <v>45742</v>
      </c>
      <c r="H206" s="5">
        <f t="shared" si="9"/>
        <v>27</v>
      </c>
      <c r="I206" s="5">
        <f t="shared" si="10"/>
        <v>27</v>
      </c>
      <c r="J206" s="2" t="s">
        <v>11</v>
      </c>
      <c r="K206" s="2" t="s">
        <v>586</v>
      </c>
      <c r="AD206" s="33" t="str">
        <f t="shared" si="11"/>
        <v>Wednesday</v>
      </c>
    </row>
    <row r="207" spans="1:30" x14ac:dyDescent="0.2">
      <c r="A207" s="23">
        <v>39746</v>
      </c>
      <c r="B207" s="2" t="s">
        <v>52</v>
      </c>
      <c r="C207" t="s">
        <v>49</v>
      </c>
      <c r="D207" t="s">
        <v>207</v>
      </c>
      <c r="E207" s="2">
        <v>45715</v>
      </c>
      <c r="F207" s="2" cm="1">
        <f t="array" ref="F207">_xlfn.IFS(B207="Owner Surrender",E207,B207="Stray",E207+6,B207="Stray w/identification",E207+11,B207="Bite",E207+10,B207="Other",E207+30,B207="BAS",E207+56,B207="Seized",E207)</f>
        <v>45715</v>
      </c>
      <c r="G207" s="2">
        <v>45744</v>
      </c>
      <c r="H207" s="5">
        <f t="shared" si="9"/>
        <v>29</v>
      </c>
      <c r="I207" s="5">
        <f t="shared" si="10"/>
        <v>29</v>
      </c>
      <c r="J207" s="2" t="s">
        <v>31</v>
      </c>
      <c r="K207" s="2" t="s">
        <v>587</v>
      </c>
      <c r="AD207" s="33" t="str">
        <f t="shared" si="11"/>
        <v>Friday</v>
      </c>
    </row>
    <row r="208" spans="1:30" x14ac:dyDescent="0.2">
      <c r="A208" s="23">
        <v>39751</v>
      </c>
      <c r="B208" s="2" t="s">
        <v>38</v>
      </c>
      <c r="C208" t="s">
        <v>69</v>
      </c>
      <c r="D208" t="s">
        <v>208</v>
      </c>
      <c r="E208" s="2">
        <v>45715</v>
      </c>
      <c r="F208" s="2" cm="1">
        <f t="array" ref="F208">_xlfn.IFS(B208="Owner Surrender",E208,B208="Stray",E208+6,B208="Stray w/identification",E208+11,B208="Bite",E208+10,B208="Other",E208+30,B208="BAS",E208+56,B208="Seized",E208)</f>
        <v>45721</v>
      </c>
      <c r="G208" s="2">
        <v>45731</v>
      </c>
      <c r="H208" s="5">
        <f t="shared" si="9"/>
        <v>16</v>
      </c>
      <c r="I208" s="5">
        <f t="shared" si="10"/>
        <v>10</v>
      </c>
      <c r="J208" s="2" t="s">
        <v>18</v>
      </c>
      <c r="K208" s="2" t="s">
        <v>586</v>
      </c>
      <c r="L208" t="s">
        <v>500</v>
      </c>
      <c r="AD208" s="33" t="str">
        <f t="shared" si="11"/>
        <v>Saturday</v>
      </c>
    </row>
    <row r="209" spans="1:30" x14ac:dyDescent="0.2">
      <c r="A209" s="23">
        <v>39752</v>
      </c>
      <c r="B209" s="2" t="s">
        <v>38</v>
      </c>
      <c r="C209" t="s">
        <v>48</v>
      </c>
      <c r="D209" t="s">
        <v>207</v>
      </c>
      <c r="E209" s="2">
        <v>45715</v>
      </c>
      <c r="F209" s="2" cm="1">
        <f t="array" ref="F209">_xlfn.IFS(B209="Owner Surrender",E209,B209="Stray",E209+6,B209="Stray w/identification",E209+11,B209="Bite",E209+10,B209="Other",E209+30,B209="BAS",E209+56,B209="Seized",E209)</f>
        <v>45721</v>
      </c>
      <c r="G209" s="2">
        <v>45723</v>
      </c>
      <c r="H209" s="5">
        <f t="shared" si="9"/>
        <v>8</v>
      </c>
      <c r="I209" s="5">
        <f t="shared" si="10"/>
        <v>2</v>
      </c>
      <c r="J209" s="2" t="s">
        <v>31</v>
      </c>
      <c r="K209" s="2" t="s">
        <v>587</v>
      </c>
      <c r="AD209" s="33" t="str">
        <f t="shared" si="11"/>
        <v>Friday</v>
      </c>
    </row>
    <row r="210" spans="1:30" x14ac:dyDescent="0.2">
      <c r="A210" s="23">
        <v>39753</v>
      </c>
      <c r="B210" s="2" t="s">
        <v>36</v>
      </c>
      <c r="C210" t="s">
        <v>49</v>
      </c>
      <c r="D210" t="s">
        <v>207</v>
      </c>
      <c r="E210" s="2">
        <v>45716</v>
      </c>
      <c r="F210" s="2" cm="1">
        <f t="array" ref="F210">_xlfn.IFS(B210="Owner Surrender",E210,B210="Stray",E210+6,B210="Stray w/identification",E210+11,B210="Bite",E210+10,B210="Other",E210+30,B210="BAS",E210+56,B210="Seized",E210)</f>
        <v>45716</v>
      </c>
      <c r="G210" s="2">
        <v>45729</v>
      </c>
      <c r="H210" s="5">
        <f t="shared" si="9"/>
        <v>13</v>
      </c>
      <c r="I210" s="5">
        <f t="shared" si="10"/>
        <v>13</v>
      </c>
      <c r="J210" s="2" t="s">
        <v>31</v>
      </c>
      <c r="K210" s="2" t="s">
        <v>587</v>
      </c>
      <c r="L210" t="s">
        <v>465</v>
      </c>
      <c r="AD210" s="33" t="str">
        <f t="shared" si="11"/>
        <v>Thursday</v>
      </c>
    </row>
    <row r="211" spans="1:30" x14ac:dyDescent="0.2">
      <c r="A211" s="23">
        <v>39754</v>
      </c>
      <c r="B211" s="2" t="s">
        <v>36</v>
      </c>
      <c r="C211" t="s">
        <v>49</v>
      </c>
      <c r="D211" t="s">
        <v>207</v>
      </c>
      <c r="E211" s="2">
        <v>45716</v>
      </c>
      <c r="F211" s="2" cm="1">
        <f t="array" ref="F211">_xlfn.IFS(B211="Owner Surrender",E211,B211="Stray",E211+6,B211="Stray w/identification",E211+11,B211="Bite",E211+10,B211="Other",E211+30,B211="BAS",E211+56,B211="Seized",E211)</f>
        <v>45716</v>
      </c>
      <c r="G211" s="2">
        <v>45729</v>
      </c>
      <c r="H211" s="5">
        <f t="shared" si="9"/>
        <v>13</v>
      </c>
      <c r="I211" s="5">
        <f t="shared" si="10"/>
        <v>13</v>
      </c>
      <c r="J211" s="2" t="s">
        <v>31</v>
      </c>
      <c r="K211" s="2" t="s">
        <v>587</v>
      </c>
      <c r="L211" t="s">
        <v>464</v>
      </c>
      <c r="AD211" s="33" t="str">
        <f t="shared" si="11"/>
        <v>Thursday</v>
      </c>
    </row>
    <row r="212" spans="1:30" x14ac:dyDescent="0.2">
      <c r="A212" s="23">
        <v>39755</v>
      </c>
      <c r="B212" s="2" t="s">
        <v>36</v>
      </c>
      <c r="C212" t="s">
        <v>49</v>
      </c>
      <c r="D212" t="s">
        <v>207</v>
      </c>
      <c r="E212" s="2">
        <v>45716</v>
      </c>
      <c r="F212" s="2" cm="1">
        <f t="array" ref="F212">_xlfn.IFS(B212="Owner Surrender",E212,B212="Stray",E212+6,B212="Stray w/identification",E212+11,B212="Bite",E212+10,B212="Other",E212+30,B212="BAS",E212+56,B212="Seized",E212)</f>
        <v>45716</v>
      </c>
      <c r="G212" s="2">
        <v>45729</v>
      </c>
      <c r="H212" s="5">
        <f t="shared" si="9"/>
        <v>13</v>
      </c>
      <c r="I212" s="5">
        <f t="shared" si="10"/>
        <v>13</v>
      </c>
      <c r="J212" s="2" t="s">
        <v>31</v>
      </c>
      <c r="K212" s="2" t="s">
        <v>587</v>
      </c>
      <c r="L212" t="s">
        <v>241</v>
      </c>
      <c r="AD212" s="33" t="str">
        <f t="shared" si="11"/>
        <v>Thursday</v>
      </c>
    </row>
    <row r="213" spans="1:30" x14ac:dyDescent="0.2">
      <c r="A213" s="23">
        <v>39761</v>
      </c>
      <c r="B213" s="2" t="s">
        <v>36</v>
      </c>
      <c r="C213" t="s">
        <v>49</v>
      </c>
      <c r="D213" t="s">
        <v>208</v>
      </c>
      <c r="E213" s="2">
        <v>45716</v>
      </c>
      <c r="F213" s="2" cm="1">
        <f t="array" ref="F213">_xlfn.IFS(B213="Owner Surrender",E213,B213="Stray",E213+6,B213="Stray w/identification",E213+11,B213="Bite",E213+10,B213="Other",E213+30,B213="BAS",E213+56,B213="Seized",E213)</f>
        <v>45716</v>
      </c>
      <c r="G213" s="2">
        <v>45719</v>
      </c>
      <c r="H213" s="5">
        <f t="shared" si="9"/>
        <v>3</v>
      </c>
      <c r="I213" s="5">
        <f t="shared" si="10"/>
        <v>3</v>
      </c>
      <c r="J213" s="2" t="s">
        <v>31</v>
      </c>
      <c r="K213" s="2" t="s">
        <v>587</v>
      </c>
      <c r="L213" t="s">
        <v>463</v>
      </c>
      <c r="AD213" s="33" t="str">
        <f t="shared" si="11"/>
        <v>Monday</v>
      </c>
    </row>
    <row r="214" spans="1:30" x14ac:dyDescent="0.2">
      <c r="A214" s="23">
        <v>39762</v>
      </c>
      <c r="B214" s="2" t="s">
        <v>36</v>
      </c>
      <c r="C214" t="s">
        <v>49</v>
      </c>
      <c r="D214" t="s">
        <v>208</v>
      </c>
      <c r="E214" s="2">
        <v>45716</v>
      </c>
      <c r="F214" s="2" cm="1">
        <f t="array" ref="F214">_xlfn.IFS(B214="Owner Surrender",E214,B214="Stray",E214+6,B214="Stray w/identification",E214+11,B214="Bite",E214+10,B214="Other",E214+30,B214="BAS",E214+56,B214="Seized",E214)</f>
        <v>45716</v>
      </c>
      <c r="G214" s="2">
        <v>45719</v>
      </c>
      <c r="H214" s="5">
        <f t="shared" si="9"/>
        <v>3</v>
      </c>
      <c r="I214" s="5">
        <f t="shared" si="10"/>
        <v>3</v>
      </c>
      <c r="J214" s="2" t="s">
        <v>31</v>
      </c>
      <c r="K214" s="2" t="s">
        <v>587</v>
      </c>
      <c r="L214" t="s">
        <v>462</v>
      </c>
      <c r="AD214" s="33" t="str">
        <f t="shared" si="11"/>
        <v>Monday</v>
      </c>
    </row>
    <row r="215" spans="1:30" x14ac:dyDescent="0.2">
      <c r="A215" s="23">
        <v>39763</v>
      </c>
      <c r="B215" s="2" t="s">
        <v>36</v>
      </c>
      <c r="C215" t="s">
        <v>49</v>
      </c>
      <c r="D215" t="s">
        <v>208</v>
      </c>
      <c r="E215" s="2">
        <v>45716</v>
      </c>
      <c r="F215" s="2" cm="1">
        <f t="array" ref="F215">_xlfn.IFS(B215="Owner Surrender",E215,B215="Stray",E215+6,B215="Stray w/identification",E215+11,B215="Bite",E215+10,B215="Other",E215+30,B215="BAS",E215+56,B215="Seized",E215)</f>
        <v>45716</v>
      </c>
      <c r="G215" s="2">
        <v>45719</v>
      </c>
      <c r="H215" s="5">
        <f t="shared" si="9"/>
        <v>3</v>
      </c>
      <c r="I215" s="5">
        <f t="shared" si="10"/>
        <v>3</v>
      </c>
      <c r="J215" s="2" t="s">
        <v>31</v>
      </c>
      <c r="K215" s="2" t="s">
        <v>587</v>
      </c>
      <c r="L215" t="s">
        <v>461</v>
      </c>
      <c r="AD215" s="33" t="str">
        <f t="shared" si="11"/>
        <v>Monday</v>
      </c>
    </row>
    <row r="216" spans="1:30" x14ac:dyDescent="0.2">
      <c r="A216" s="23">
        <v>39764</v>
      </c>
      <c r="B216" s="2" t="s">
        <v>36</v>
      </c>
      <c r="C216" t="s">
        <v>49</v>
      </c>
      <c r="D216" t="s">
        <v>208</v>
      </c>
      <c r="E216" s="2">
        <v>45716</v>
      </c>
      <c r="F216" s="2" cm="1">
        <f t="array" ref="F216">_xlfn.IFS(B216="Owner Surrender",E216,B216="Stray",E216+6,B216="Stray w/identification",E216+11,B216="Bite",E216+10,B216="Other",E216+30,B216="BAS",E216+56,B216="Seized",E216)</f>
        <v>45716</v>
      </c>
      <c r="G216" s="2">
        <v>45719</v>
      </c>
      <c r="H216" s="5">
        <f t="shared" si="9"/>
        <v>3</v>
      </c>
      <c r="I216" s="5">
        <f t="shared" si="10"/>
        <v>3</v>
      </c>
      <c r="J216" s="2" t="s">
        <v>31</v>
      </c>
      <c r="K216" s="2" t="s">
        <v>587</v>
      </c>
      <c r="L216" t="s">
        <v>460</v>
      </c>
      <c r="AD216" s="33" t="str">
        <f t="shared" si="11"/>
        <v>Monday</v>
      </c>
    </row>
    <row r="217" spans="1:30" x14ac:dyDescent="0.2">
      <c r="A217" s="23">
        <v>39765</v>
      </c>
      <c r="B217" s="2" t="s">
        <v>36</v>
      </c>
      <c r="C217" t="s">
        <v>49</v>
      </c>
      <c r="D217" t="s">
        <v>208</v>
      </c>
      <c r="E217" s="2">
        <v>45716</v>
      </c>
      <c r="F217" s="2" cm="1">
        <f t="array" ref="F217">_xlfn.IFS(B217="Owner Surrender",E217,B217="Stray",E217+6,B217="Stray w/identification",E217+11,B217="Bite",E217+10,B217="Other",E217+30,B217="BAS",E217+56,B217="Seized",E217)</f>
        <v>45716</v>
      </c>
      <c r="G217" s="2">
        <v>45719</v>
      </c>
      <c r="H217" s="5">
        <f t="shared" si="9"/>
        <v>3</v>
      </c>
      <c r="I217" s="5">
        <f t="shared" si="10"/>
        <v>3</v>
      </c>
      <c r="J217" s="2" t="s">
        <v>31</v>
      </c>
      <c r="K217" s="2" t="s">
        <v>587</v>
      </c>
      <c r="L217" t="s">
        <v>459</v>
      </c>
      <c r="AD217" s="33" t="str">
        <f t="shared" si="11"/>
        <v>Monday</v>
      </c>
    </row>
    <row r="218" spans="1:30" x14ac:dyDescent="0.2">
      <c r="A218" s="23">
        <v>39769</v>
      </c>
      <c r="B218" s="2" t="s">
        <v>36</v>
      </c>
      <c r="C218" t="s">
        <v>48</v>
      </c>
      <c r="D218" t="s">
        <v>207</v>
      </c>
      <c r="E218" s="2">
        <v>45717</v>
      </c>
      <c r="F218" s="2" cm="1">
        <f t="array" ref="F218">_xlfn.IFS(B218="Owner Surrender",E218,B218="Stray",E218+6,B218="Stray w/identification",E218+11,B218="Bite",E218+10,B218="Other",E218+30,B218="BAS",E218+56,B218="Seized",E218)</f>
        <v>45717</v>
      </c>
      <c r="G218" s="2">
        <v>45719</v>
      </c>
      <c r="H218" s="5">
        <f t="shared" si="9"/>
        <v>2</v>
      </c>
      <c r="I218" s="5">
        <f t="shared" si="10"/>
        <v>2</v>
      </c>
      <c r="J218" s="2" t="s">
        <v>31</v>
      </c>
      <c r="K218" s="2" t="s">
        <v>587</v>
      </c>
      <c r="AD218" s="33" t="str">
        <f t="shared" si="11"/>
        <v>Monday</v>
      </c>
    </row>
    <row r="219" spans="1:30" x14ac:dyDescent="0.2">
      <c r="A219" s="23">
        <v>39772</v>
      </c>
      <c r="B219" s="2" t="s">
        <v>36</v>
      </c>
      <c r="C219" t="s">
        <v>516</v>
      </c>
      <c r="D219" t="s">
        <v>207</v>
      </c>
      <c r="E219" s="2">
        <v>45717</v>
      </c>
      <c r="F219" s="2" cm="1">
        <f t="array" ref="F219">_xlfn.IFS(B219="Owner Surrender",E219,B219="Stray",E219+6,B219="Stray w/identification",E219+11,B219="Bite",E219+10,B219="Other",E219+30,B219="BAS",E219+56,B219="Seized",E219)</f>
        <v>45717</v>
      </c>
      <c r="G219" s="2">
        <v>45719</v>
      </c>
      <c r="H219" s="5">
        <f t="shared" si="9"/>
        <v>2</v>
      </c>
      <c r="I219" s="5">
        <f t="shared" si="10"/>
        <v>2</v>
      </c>
      <c r="J219" s="2" t="s">
        <v>31</v>
      </c>
      <c r="K219" s="2" t="s">
        <v>587</v>
      </c>
      <c r="AD219" s="33" t="str">
        <f t="shared" si="11"/>
        <v>Monday</v>
      </c>
    </row>
    <row r="220" spans="1:30" x14ac:dyDescent="0.2">
      <c r="A220" s="23">
        <v>39773</v>
      </c>
      <c r="B220" s="2" t="s">
        <v>36</v>
      </c>
      <c r="C220" t="s">
        <v>141</v>
      </c>
      <c r="D220" t="s">
        <v>208</v>
      </c>
      <c r="E220" s="2">
        <v>45717</v>
      </c>
      <c r="F220" s="2" cm="1">
        <f t="array" ref="F220">_xlfn.IFS(B220="Owner Surrender",E220,B220="Stray",E220+6,B220="Stray w/identification",E220+11,B220="Bite",E220+10,B220="Other",E220+30,B220="BAS",E220+56,B220="Seized",E220)</f>
        <v>45717</v>
      </c>
      <c r="G220" s="2">
        <v>45719</v>
      </c>
      <c r="H220" s="5">
        <f t="shared" si="9"/>
        <v>2</v>
      </c>
      <c r="I220" s="5">
        <f t="shared" si="10"/>
        <v>2</v>
      </c>
      <c r="J220" s="2" t="s">
        <v>31</v>
      </c>
      <c r="K220" s="2" t="s">
        <v>587</v>
      </c>
      <c r="AD220" s="33" t="str">
        <f t="shared" si="11"/>
        <v>Monday</v>
      </c>
    </row>
    <row r="221" spans="1:30" x14ac:dyDescent="0.2">
      <c r="A221" s="23">
        <v>39774</v>
      </c>
      <c r="B221" s="2" t="s">
        <v>36</v>
      </c>
      <c r="C221" t="s">
        <v>141</v>
      </c>
      <c r="D221" t="s">
        <v>208</v>
      </c>
      <c r="E221" s="2">
        <v>45717</v>
      </c>
      <c r="F221" s="2" cm="1">
        <f t="array" ref="F221">_xlfn.IFS(B221="Owner Surrender",E221,B221="Stray",E221+6,B221="Stray w/identification",E221+11,B221="Bite",E221+10,B221="Other",E221+30,B221="BAS",E221+56,B221="Seized",E221)</f>
        <v>45717</v>
      </c>
      <c r="G221" s="2">
        <v>45719</v>
      </c>
      <c r="H221" s="5">
        <f t="shared" si="9"/>
        <v>2</v>
      </c>
      <c r="I221" s="5">
        <f t="shared" si="10"/>
        <v>2</v>
      </c>
      <c r="J221" s="2" t="s">
        <v>31</v>
      </c>
      <c r="K221" s="2" t="s">
        <v>587</v>
      </c>
      <c r="AD221" s="33" t="str">
        <f t="shared" si="11"/>
        <v>Monday</v>
      </c>
    </row>
    <row r="222" spans="1:30" x14ac:dyDescent="0.2">
      <c r="A222" s="23">
        <v>39775</v>
      </c>
      <c r="B222" s="2" t="s">
        <v>36</v>
      </c>
      <c r="C222" t="s">
        <v>141</v>
      </c>
      <c r="D222" t="s">
        <v>208</v>
      </c>
      <c r="E222" s="2">
        <v>45717</v>
      </c>
      <c r="F222" s="2" cm="1">
        <f t="array" ref="F222">_xlfn.IFS(B222="Owner Surrender",E222,B222="Stray",E222+6,B222="Stray w/identification",E222+11,B222="Bite",E222+10,B222="Other",E222+30,B222="BAS",E222+56,B222="Seized",E222)</f>
        <v>45717</v>
      </c>
      <c r="G222" s="2">
        <v>45719</v>
      </c>
      <c r="H222" s="5">
        <f t="shared" si="9"/>
        <v>2</v>
      </c>
      <c r="I222" s="5">
        <f t="shared" si="10"/>
        <v>2</v>
      </c>
      <c r="J222" s="2" t="s">
        <v>31</v>
      </c>
      <c r="K222" s="2" t="s">
        <v>587</v>
      </c>
      <c r="AD222" s="33" t="str">
        <f t="shared" si="11"/>
        <v>Monday</v>
      </c>
    </row>
    <row r="223" spans="1:30" x14ac:dyDescent="0.2">
      <c r="A223" s="23">
        <v>39776</v>
      </c>
      <c r="B223" s="2" t="s">
        <v>36</v>
      </c>
      <c r="C223" t="s">
        <v>141</v>
      </c>
      <c r="D223" t="s">
        <v>208</v>
      </c>
      <c r="E223" s="2">
        <v>45717</v>
      </c>
      <c r="F223" s="2" cm="1">
        <f t="array" ref="F223">_xlfn.IFS(B223="Owner Surrender",E223,B223="Stray",E223+6,B223="Stray w/identification",E223+11,B223="Bite",E223+10,B223="Other",E223+30,B223="BAS",E223+56,B223="Seized",E223)</f>
        <v>45717</v>
      </c>
      <c r="G223" s="2">
        <v>45719</v>
      </c>
      <c r="H223" s="5">
        <f t="shared" si="9"/>
        <v>2</v>
      </c>
      <c r="I223" s="5">
        <f t="shared" si="10"/>
        <v>2</v>
      </c>
      <c r="J223" s="2" t="s">
        <v>31</v>
      </c>
      <c r="K223" s="2" t="s">
        <v>587</v>
      </c>
      <c r="AD223" s="33" t="str">
        <f t="shared" si="11"/>
        <v>Monday</v>
      </c>
    </row>
    <row r="224" spans="1:30" x14ac:dyDescent="0.2">
      <c r="A224" s="23">
        <v>39777</v>
      </c>
      <c r="B224" s="2" t="s">
        <v>36</v>
      </c>
      <c r="C224" t="s">
        <v>141</v>
      </c>
      <c r="D224" t="s">
        <v>208</v>
      </c>
      <c r="E224" s="2">
        <v>45717</v>
      </c>
      <c r="F224" s="2" cm="1">
        <f t="array" ref="F224">_xlfn.IFS(B224="Owner Surrender",E224,B224="Stray",E224+6,B224="Stray w/identification",E224+11,B224="Bite",E224+10,B224="Other",E224+30,B224="BAS",E224+56,B224="Seized",E224)</f>
        <v>45717</v>
      </c>
      <c r="G224" s="2">
        <v>45719</v>
      </c>
      <c r="H224" s="5">
        <f t="shared" si="9"/>
        <v>2</v>
      </c>
      <c r="I224" s="5">
        <f t="shared" si="10"/>
        <v>2</v>
      </c>
      <c r="J224" s="2" t="s">
        <v>31</v>
      </c>
      <c r="K224" s="2" t="s">
        <v>587</v>
      </c>
      <c r="AD224" s="33" t="str">
        <f t="shared" si="11"/>
        <v>Monday</v>
      </c>
    </row>
    <row r="225" spans="1:30" x14ac:dyDescent="0.2">
      <c r="A225" s="23">
        <v>39778</v>
      </c>
      <c r="B225" s="2" t="s">
        <v>36</v>
      </c>
      <c r="C225" t="s">
        <v>141</v>
      </c>
      <c r="D225" t="s">
        <v>208</v>
      </c>
      <c r="E225" s="2">
        <v>45717</v>
      </c>
      <c r="F225" s="2" cm="1">
        <f t="array" ref="F225">_xlfn.IFS(B225="Owner Surrender",E225,B225="Stray",E225+6,B225="Stray w/identification",E225+11,B225="Bite",E225+10,B225="Other",E225+30,B225="BAS",E225+56,B225="Seized",E225)</f>
        <v>45717</v>
      </c>
      <c r="G225" s="2">
        <v>45719</v>
      </c>
      <c r="H225" s="5">
        <f t="shared" si="9"/>
        <v>2</v>
      </c>
      <c r="I225" s="5">
        <f t="shared" si="10"/>
        <v>2</v>
      </c>
      <c r="J225" s="2" t="s">
        <v>31</v>
      </c>
      <c r="K225" s="2" t="s">
        <v>587</v>
      </c>
      <c r="AD225" s="33" t="str">
        <f t="shared" si="11"/>
        <v>Monday</v>
      </c>
    </row>
    <row r="226" spans="1:30" x14ac:dyDescent="0.2">
      <c r="A226" s="23">
        <v>39780</v>
      </c>
      <c r="B226" s="2" t="s">
        <v>60</v>
      </c>
      <c r="C226" t="s">
        <v>148</v>
      </c>
      <c r="D226" t="s">
        <v>207</v>
      </c>
      <c r="E226" s="2">
        <v>45717</v>
      </c>
      <c r="F226" s="2" cm="1">
        <f t="array" ref="F226">_xlfn.IFS(B226="Owner Surrender",E226,B226="Stray",E226+6,B226="Stray w/identification",E226+11,B226="Bite",E226+10,B226="Other",E226+30,B226="BAS",E226+56,B226="Seized",E226)</f>
        <v>45747</v>
      </c>
      <c r="G226" s="2">
        <v>45717</v>
      </c>
      <c r="H226" s="5">
        <f t="shared" si="9"/>
        <v>0</v>
      </c>
      <c r="I226" s="5">
        <f t="shared" si="10"/>
        <v>-30</v>
      </c>
      <c r="J226" s="2" t="s">
        <v>31</v>
      </c>
      <c r="K226" s="2" t="s">
        <v>587</v>
      </c>
      <c r="AD226" s="33" t="str">
        <f t="shared" si="11"/>
        <v>Saturday</v>
      </c>
    </row>
    <row r="227" spans="1:30" x14ac:dyDescent="0.2">
      <c r="A227" s="23">
        <v>39781</v>
      </c>
      <c r="B227" s="2" t="s">
        <v>36</v>
      </c>
      <c r="C227" t="s">
        <v>512</v>
      </c>
      <c r="D227" t="s">
        <v>207</v>
      </c>
      <c r="E227" s="2">
        <v>45717</v>
      </c>
      <c r="F227" s="2" cm="1">
        <f t="array" ref="F227">_xlfn.IFS(B227="Owner Surrender",E227,B227="Stray",E227+6,B227="Stray w/identification",E227+11,B227="Bite",E227+10,B227="Other",E227+30,B227="BAS",E227+56,B227="Seized",E227)</f>
        <v>45717</v>
      </c>
      <c r="G227" s="2">
        <v>45719</v>
      </c>
      <c r="H227" s="5">
        <f t="shared" si="9"/>
        <v>2</v>
      </c>
      <c r="I227" s="5">
        <f t="shared" si="10"/>
        <v>2</v>
      </c>
      <c r="J227" s="2" t="s">
        <v>31</v>
      </c>
      <c r="K227" s="2" t="s">
        <v>587</v>
      </c>
      <c r="AD227" s="33" t="str">
        <f t="shared" si="11"/>
        <v>Monday</v>
      </c>
    </row>
    <row r="228" spans="1:30" x14ac:dyDescent="0.2">
      <c r="A228" s="23">
        <v>39782</v>
      </c>
      <c r="B228" s="2" t="s">
        <v>36</v>
      </c>
      <c r="C228" t="s">
        <v>141</v>
      </c>
      <c r="D228" t="s">
        <v>207</v>
      </c>
      <c r="E228" s="2">
        <v>45717</v>
      </c>
      <c r="F228" s="2" cm="1">
        <f t="array" ref="F228">_xlfn.IFS(B228="Owner Surrender",E228,B228="Stray",E228+6,B228="Stray w/identification",E228+11,B228="Bite",E228+10,B228="Other",E228+30,B228="BAS",E228+56,B228="Seized",E228)</f>
        <v>45717</v>
      </c>
      <c r="G228" s="2">
        <v>45719</v>
      </c>
      <c r="H228" s="5">
        <f t="shared" si="9"/>
        <v>2</v>
      </c>
      <c r="I228" s="5">
        <f t="shared" si="10"/>
        <v>2</v>
      </c>
      <c r="J228" s="2" t="s">
        <v>31</v>
      </c>
      <c r="K228" s="2" t="s">
        <v>587</v>
      </c>
      <c r="AD228" s="33" t="str">
        <f t="shared" si="11"/>
        <v>Monday</v>
      </c>
    </row>
    <row r="229" spans="1:30" x14ac:dyDescent="0.2">
      <c r="A229" s="23">
        <v>39783</v>
      </c>
      <c r="B229" s="2" t="s">
        <v>60</v>
      </c>
      <c r="C229" t="s">
        <v>82</v>
      </c>
      <c r="D229" t="s">
        <v>207</v>
      </c>
      <c r="E229" s="2">
        <v>45718</v>
      </c>
      <c r="F229" s="2" cm="1">
        <f t="array" ref="F229">_xlfn.IFS(B229="Owner Surrender",E229,B229="Stray",E229+6,B229="Stray w/identification",E229+11,B229="Bite",E229+10,B229="Other",E229+30,B229="BAS",E229+56,B229="Seized",E229)</f>
        <v>45748</v>
      </c>
      <c r="G229" s="2">
        <v>45726</v>
      </c>
      <c r="H229" s="5">
        <f t="shared" si="9"/>
        <v>8</v>
      </c>
      <c r="I229" s="5">
        <f t="shared" si="10"/>
        <v>-22</v>
      </c>
      <c r="J229" s="2" t="s">
        <v>8</v>
      </c>
      <c r="K229" s="2" t="s">
        <v>586</v>
      </c>
      <c r="AD229" s="33" t="str">
        <f t="shared" si="11"/>
        <v>Monday</v>
      </c>
    </row>
    <row r="230" spans="1:30" x14ac:dyDescent="0.2">
      <c r="A230" s="23">
        <v>39784</v>
      </c>
      <c r="B230" s="2" t="s">
        <v>38</v>
      </c>
      <c r="C230" t="s">
        <v>48</v>
      </c>
      <c r="D230" t="s">
        <v>207</v>
      </c>
      <c r="E230" s="2">
        <v>45719</v>
      </c>
      <c r="F230" s="2" cm="1">
        <f t="array" ref="F230">_xlfn.IFS(B230="Owner Surrender",E230,B230="Stray",E230+6,B230="Stray w/identification",E230+11,B230="Bite",E230+10,B230="Other",E230+30,B230="BAS",E230+56,B230="Seized",E230)</f>
        <v>45725</v>
      </c>
      <c r="G230" s="2">
        <v>45733</v>
      </c>
      <c r="H230" s="5">
        <f t="shared" si="9"/>
        <v>14</v>
      </c>
      <c r="I230" s="5">
        <f t="shared" si="10"/>
        <v>8</v>
      </c>
      <c r="J230" s="2" t="s">
        <v>18</v>
      </c>
      <c r="K230" s="2" t="s">
        <v>586</v>
      </c>
      <c r="L230" t="s">
        <v>499</v>
      </c>
      <c r="AD230" s="33" t="str">
        <f t="shared" si="11"/>
        <v>Monday</v>
      </c>
    </row>
    <row r="231" spans="1:30" x14ac:dyDescent="0.2">
      <c r="A231" s="23">
        <v>39785</v>
      </c>
      <c r="B231" s="2" t="s">
        <v>38</v>
      </c>
      <c r="C231" t="s">
        <v>49</v>
      </c>
      <c r="D231" t="s">
        <v>207</v>
      </c>
      <c r="E231" s="2">
        <v>45719</v>
      </c>
      <c r="F231" s="2" cm="1">
        <f t="array" ref="F231">_xlfn.IFS(B231="Owner Surrender",E231,B231="Stray",E231+6,B231="Stray w/identification",E231+11,B231="Bite",E231+10,B231="Other",E231+30,B231="BAS",E231+56,B231="Seized",E231)</f>
        <v>45725</v>
      </c>
      <c r="G231" s="2">
        <v>45734</v>
      </c>
      <c r="H231" s="5">
        <f t="shared" si="9"/>
        <v>15</v>
      </c>
      <c r="I231" s="5">
        <f t="shared" si="10"/>
        <v>9</v>
      </c>
      <c r="J231" s="2" t="s">
        <v>31</v>
      </c>
      <c r="K231" s="2" t="s">
        <v>587</v>
      </c>
      <c r="AD231" s="33" t="str">
        <f t="shared" si="11"/>
        <v>Tuesday</v>
      </c>
    </row>
    <row r="232" spans="1:30" x14ac:dyDescent="0.2">
      <c r="A232" s="23">
        <v>39788</v>
      </c>
      <c r="B232" s="2" t="s">
        <v>38</v>
      </c>
      <c r="C232" t="s">
        <v>89</v>
      </c>
      <c r="D232" t="s">
        <v>210</v>
      </c>
      <c r="E232" s="2">
        <v>45719</v>
      </c>
      <c r="F232" s="2" cm="1">
        <f t="array" ref="F232">_xlfn.IFS(B232="Owner Surrender",E232,B232="Stray",E232+6,B232="Stray w/identification",E232+11,B232="Bite",E232+10,B232="Other",E232+30,B232="BAS",E232+56,B232="Seized",E232)</f>
        <v>45725</v>
      </c>
      <c r="G232" s="2">
        <v>45727</v>
      </c>
      <c r="H232" s="5">
        <f t="shared" si="9"/>
        <v>8</v>
      </c>
      <c r="I232" s="5">
        <f t="shared" si="10"/>
        <v>2</v>
      </c>
      <c r="J232" s="2" t="s">
        <v>31</v>
      </c>
      <c r="K232" s="2" t="s">
        <v>587</v>
      </c>
      <c r="AD232" s="33" t="str">
        <f t="shared" si="11"/>
        <v>Tuesday</v>
      </c>
    </row>
    <row r="233" spans="1:30" x14ac:dyDescent="0.2">
      <c r="A233" s="23">
        <v>39789</v>
      </c>
      <c r="B233" s="2" t="s">
        <v>38</v>
      </c>
      <c r="C233" t="s">
        <v>89</v>
      </c>
      <c r="D233" t="s">
        <v>207</v>
      </c>
      <c r="E233" s="2">
        <v>45719</v>
      </c>
      <c r="F233" s="2" cm="1">
        <f t="array" ref="F233">_xlfn.IFS(B233="Owner Surrender",E233,B233="Stray",E233+6,B233="Stray w/identification",E233+11,B233="Bite",E233+10,B233="Other",E233+30,B233="BAS",E233+56,B233="Seized",E233)</f>
        <v>45725</v>
      </c>
      <c r="G233" s="2">
        <v>45727</v>
      </c>
      <c r="H233" s="5">
        <f t="shared" si="9"/>
        <v>8</v>
      </c>
      <c r="I233" s="5">
        <f t="shared" si="10"/>
        <v>2</v>
      </c>
      <c r="J233" s="2" t="s">
        <v>31</v>
      </c>
      <c r="K233" s="2" t="s">
        <v>587</v>
      </c>
      <c r="AD233" s="33" t="str">
        <f t="shared" si="11"/>
        <v>Tuesday</v>
      </c>
    </row>
    <row r="234" spans="1:30" x14ac:dyDescent="0.2">
      <c r="A234" s="23">
        <v>39793</v>
      </c>
      <c r="B234" s="2" t="s">
        <v>36</v>
      </c>
      <c r="C234" t="s">
        <v>520</v>
      </c>
      <c r="D234" t="s">
        <v>210</v>
      </c>
      <c r="E234" s="2">
        <v>45719</v>
      </c>
      <c r="F234" s="2" cm="1">
        <f t="array" ref="F234">_xlfn.IFS(B234="Owner Surrender",E234,B234="Stray",E234+6,B234="Stray w/identification",E234+11,B234="Bite",E234+10,B234="Other",E234+30,B234="BAS",E234+56,B234="Seized",E234)</f>
        <v>45719</v>
      </c>
      <c r="G234" s="2">
        <v>45719</v>
      </c>
      <c r="H234" s="5">
        <f t="shared" si="9"/>
        <v>0</v>
      </c>
      <c r="I234" s="5">
        <f t="shared" si="10"/>
        <v>0</v>
      </c>
      <c r="J234" s="2" t="s">
        <v>31</v>
      </c>
      <c r="K234" s="2" t="s">
        <v>587</v>
      </c>
      <c r="AD234" s="33" t="str">
        <f t="shared" si="11"/>
        <v>Monday</v>
      </c>
    </row>
    <row r="235" spans="1:30" x14ac:dyDescent="0.2">
      <c r="A235" s="23">
        <v>39794</v>
      </c>
      <c r="B235" s="2" t="s">
        <v>36</v>
      </c>
      <c r="C235" t="s">
        <v>72</v>
      </c>
      <c r="D235" t="s">
        <v>208</v>
      </c>
      <c r="E235" s="2">
        <v>45719</v>
      </c>
      <c r="F235" s="2" cm="1">
        <f t="array" ref="F235">_xlfn.IFS(B235="Owner Surrender",E235,B235="Stray",E235+6,B235="Stray w/identification",E235+11,B235="Bite",E235+10,B235="Other",E235+30,B235="BAS",E235+56,B235="Seized",E235)</f>
        <v>45719</v>
      </c>
      <c r="G235" s="2">
        <v>45721</v>
      </c>
      <c r="H235" s="5">
        <f t="shared" si="9"/>
        <v>2</v>
      </c>
      <c r="I235" s="5">
        <f t="shared" si="10"/>
        <v>2</v>
      </c>
      <c r="J235" s="2" t="s">
        <v>31</v>
      </c>
      <c r="K235" s="2" t="s">
        <v>587</v>
      </c>
      <c r="AD235" s="33" t="str">
        <f t="shared" si="11"/>
        <v>Wednesday</v>
      </c>
    </row>
    <row r="236" spans="1:30" x14ac:dyDescent="0.2">
      <c r="A236" s="23">
        <v>39795</v>
      </c>
      <c r="B236" s="2" t="s">
        <v>36</v>
      </c>
      <c r="C236" t="s">
        <v>72</v>
      </c>
      <c r="D236" t="s">
        <v>208</v>
      </c>
      <c r="E236" s="2">
        <v>45719</v>
      </c>
      <c r="F236" s="2" cm="1">
        <f t="array" ref="F236">_xlfn.IFS(B236="Owner Surrender",E236,B236="Stray",E236+6,B236="Stray w/identification",E236+11,B236="Bite",E236+10,B236="Other",E236+30,B236="BAS",E236+56,B236="Seized",E236)</f>
        <v>45719</v>
      </c>
      <c r="G236" s="2">
        <v>45721</v>
      </c>
      <c r="H236" s="5">
        <f t="shared" si="9"/>
        <v>2</v>
      </c>
      <c r="I236" s="5">
        <f t="shared" si="10"/>
        <v>2</v>
      </c>
      <c r="J236" s="2" t="s">
        <v>31</v>
      </c>
      <c r="K236" s="2" t="s">
        <v>587</v>
      </c>
      <c r="AD236" s="33" t="str">
        <f t="shared" si="11"/>
        <v>Wednesday</v>
      </c>
    </row>
    <row r="237" spans="1:30" x14ac:dyDescent="0.2">
      <c r="A237" s="23">
        <v>39796</v>
      </c>
      <c r="B237" s="2" t="s">
        <v>36</v>
      </c>
      <c r="C237" t="s">
        <v>72</v>
      </c>
      <c r="D237" t="s">
        <v>208</v>
      </c>
      <c r="E237" s="2">
        <v>45719</v>
      </c>
      <c r="F237" s="2" cm="1">
        <f t="array" ref="F237">_xlfn.IFS(B237="Owner Surrender",E237,B237="Stray",E237+6,B237="Stray w/identification",E237+11,B237="Bite",E237+10,B237="Other",E237+30,B237="BAS",E237+56,B237="Seized",E237)</f>
        <v>45719</v>
      </c>
      <c r="G237" s="2">
        <v>45721</v>
      </c>
      <c r="H237" s="5">
        <f t="shared" si="9"/>
        <v>2</v>
      </c>
      <c r="I237" s="5">
        <f t="shared" si="10"/>
        <v>2</v>
      </c>
      <c r="J237" s="2" t="s">
        <v>31</v>
      </c>
      <c r="K237" s="2" t="s">
        <v>587</v>
      </c>
      <c r="AD237" s="33" t="str">
        <f t="shared" si="11"/>
        <v>Wednesday</v>
      </c>
    </row>
    <row r="238" spans="1:30" x14ac:dyDescent="0.2">
      <c r="A238" s="23">
        <v>39797</v>
      </c>
      <c r="B238" s="2" t="s">
        <v>36</v>
      </c>
      <c r="C238" t="s">
        <v>72</v>
      </c>
      <c r="D238" t="s">
        <v>208</v>
      </c>
      <c r="E238" s="2">
        <v>45719</v>
      </c>
      <c r="F238" s="2" cm="1">
        <f t="array" ref="F238">_xlfn.IFS(B238="Owner Surrender",E238,B238="Stray",E238+6,B238="Stray w/identification",E238+11,B238="Bite",E238+10,B238="Other",E238+30,B238="BAS",E238+56,B238="Seized",E238)</f>
        <v>45719</v>
      </c>
      <c r="G238" s="2">
        <v>45721</v>
      </c>
      <c r="H238" s="5">
        <f t="shared" si="9"/>
        <v>2</v>
      </c>
      <c r="I238" s="5">
        <f t="shared" si="10"/>
        <v>2</v>
      </c>
      <c r="J238" s="2" t="s">
        <v>31</v>
      </c>
      <c r="K238" s="2" t="s">
        <v>587</v>
      </c>
      <c r="AD238" s="33" t="str">
        <f t="shared" si="11"/>
        <v>Wednesday</v>
      </c>
    </row>
    <row r="239" spans="1:30" x14ac:dyDescent="0.2">
      <c r="A239" s="23">
        <v>39798</v>
      </c>
      <c r="B239" s="2" t="s">
        <v>36</v>
      </c>
      <c r="C239" t="s">
        <v>72</v>
      </c>
      <c r="D239" t="s">
        <v>208</v>
      </c>
      <c r="E239" s="2">
        <v>45719</v>
      </c>
      <c r="F239" s="2" cm="1">
        <f t="array" ref="F239">_xlfn.IFS(B239="Owner Surrender",E239,B239="Stray",E239+6,B239="Stray w/identification",E239+11,B239="Bite",E239+10,B239="Other",E239+30,B239="BAS",E239+56,B239="Seized",E239)</f>
        <v>45719</v>
      </c>
      <c r="G239" s="2">
        <v>45721</v>
      </c>
      <c r="H239" s="5">
        <f t="shared" si="9"/>
        <v>2</v>
      </c>
      <c r="I239" s="5">
        <f t="shared" si="10"/>
        <v>2</v>
      </c>
      <c r="J239" s="2" t="s">
        <v>31</v>
      </c>
      <c r="K239" s="2" t="s">
        <v>587</v>
      </c>
      <c r="AD239" s="33" t="str">
        <f t="shared" si="11"/>
        <v>Wednesday</v>
      </c>
    </row>
    <row r="240" spans="1:30" x14ac:dyDescent="0.2">
      <c r="A240" s="23">
        <v>39799</v>
      </c>
      <c r="B240" s="2" t="s">
        <v>36</v>
      </c>
      <c r="C240" t="s">
        <v>72</v>
      </c>
      <c r="D240" t="s">
        <v>208</v>
      </c>
      <c r="E240" s="2">
        <v>45719</v>
      </c>
      <c r="F240" s="2" cm="1">
        <f t="array" ref="F240">_xlfn.IFS(B240="Owner Surrender",E240,B240="Stray",E240+6,B240="Stray w/identification",E240+11,B240="Bite",E240+10,B240="Other",E240+30,B240="BAS",E240+56,B240="Seized",E240)</f>
        <v>45719</v>
      </c>
      <c r="G240" s="2">
        <v>45721</v>
      </c>
      <c r="H240" s="5">
        <f t="shared" si="9"/>
        <v>2</v>
      </c>
      <c r="I240" s="5">
        <f t="shared" si="10"/>
        <v>2</v>
      </c>
      <c r="J240" s="2" t="s">
        <v>31</v>
      </c>
      <c r="K240" s="2" t="s">
        <v>587</v>
      </c>
      <c r="AD240" s="33" t="str">
        <f t="shared" si="11"/>
        <v>Wednesday</v>
      </c>
    </row>
    <row r="241" spans="1:30" x14ac:dyDescent="0.2">
      <c r="A241" s="23">
        <v>39800</v>
      </c>
      <c r="B241" s="2" t="s">
        <v>36</v>
      </c>
      <c r="C241" t="s">
        <v>48</v>
      </c>
      <c r="D241" t="s">
        <v>207</v>
      </c>
      <c r="E241" s="2">
        <v>45720</v>
      </c>
      <c r="F241" s="2" cm="1">
        <f t="array" ref="F241">_xlfn.IFS(B241="Owner Surrender",E241,B241="Stray",E241+6,B241="Stray w/identification",E241+11,B241="Bite",E241+10,B241="Other",E241+30,B241="BAS",E241+56,B241="Seized",E241)</f>
        <v>45720</v>
      </c>
      <c r="G241" s="2">
        <v>45723</v>
      </c>
      <c r="H241" s="5">
        <f t="shared" si="9"/>
        <v>3</v>
      </c>
      <c r="I241" s="5">
        <f t="shared" si="10"/>
        <v>3</v>
      </c>
      <c r="J241" s="2" t="s">
        <v>31</v>
      </c>
      <c r="K241" s="2" t="s">
        <v>587</v>
      </c>
      <c r="AD241" s="33" t="str">
        <f t="shared" si="11"/>
        <v>Friday</v>
      </c>
    </row>
    <row r="242" spans="1:30" x14ac:dyDescent="0.2">
      <c r="A242" s="23">
        <v>39811</v>
      </c>
      <c r="B242" s="2" t="s">
        <v>36</v>
      </c>
      <c r="C242" t="s">
        <v>48</v>
      </c>
      <c r="D242" t="s">
        <v>207</v>
      </c>
      <c r="E242" s="2">
        <v>45721</v>
      </c>
      <c r="F242" s="2" cm="1">
        <f t="array" ref="F242">_xlfn.IFS(B242="Owner Surrender",E242,B242="Stray",E242+6,B242="Stray w/identification",E242+11,B242="Bite",E242+10,B242="Other",E242+30,B242="BAS",E242+56,B242="Seized",E242)</f>
        <v>45721</v>
      </c>
      <c r="G242" s="2">
        <v>45723</v>
      </c>
      <c r="H242" s="5">
        <f t="shared" si="9"/>
        <v>2</v>
      </c>
      <c r="I242" s="5">
        <f t="shared" si="10"/>
        <v>2</v>
      </c>
      <c r="J242" s="2" t="s">
        <v>31</v>
      </c>
      <c r="K242" s="2" t="s">
        <v>587</v>
      </c>
      <c r="AD242" s="33" t="str">
        <f t="shared" si="11"/>
        <v>Friday</v>
      </c>
    </row>
    <row r="243" spans="1:30" x14ac:dyDescent="0.2">
      <c r="A243" s="23">
        <v>39812</v>
      </c>
      <c r="B243" s="2" t="s">
        <v>36</v>
      </c>
      <c r="C243" t="s">
        <v>49</v>
      </c>
      <c r="D243" t="s">
        <v>207</v>
      </c>
      <c r="E243" s="2">
        <v>45722</v>
      </c>
      <c r="F243" s="2" cm="1">
        <f t="array" ref="F243">_xlfn.IFS(B243="Owner Surrender",E243,B243="Stray",E243+6,B243="Stray w/identification",E243+11,B243="Bite",E243+10,B243="Other",E243+30,B243="BAS",E243+56,B243="Seized",E243)</f>
        <v>45722</v>
      </c>
      <c r="G243" s="2">
        <v>45723</v>
      </c>
      <c r="H243" s="5">
        <f t="shared" si="9"/>
        <v>1</v>
      </c>
      <c r="I243" s="5">
        <f t="shared" si="10"/>
        <v>1</v>
      </c>
      <c r="J243" s="2" t="s">
        <v>31</v>
      </c>
      <c r="K243" s="2" t="s">
        <v>587</v>
      </c>
      <c r="AD243" s="33" t="str">
        <f t="shared" si="11"/>
        <v>Friday</v>
      </c>
    </row>
    <row r="244" spans="1:30" x14ac:dyDescent="0.2">
      <c r="A244" s="23">
        <v>39813</v>
      </c>
      <c r="B244" s="2" t="s">
        <v>38</v>
      </c>
      <c r="C244" t="s">
        <v>49</v>
      </c>
      <c r="D244" t="s">
        <v>207</v>
      </c>
      <c r="E244" s="2">
        <v>45721</v>
      </c>
      <c r="F244" s="2" cm="1">
        <f t="array" ref="F244">_xlfn.IFS(B244="Owner Surrender",E244,B244="Stray",E244+6,B244="Stray w/identification",E244+11,B244="Bite",E244+10,B244="Other",E244+30,B244="BAS",E244+56,B244="Seized",E244)</f>
        <v>45727</v>
      </c>
      <c r="G244" s="2">
        <v>45734</v>
      </c>
      <c r="H244" s="5">
        <f t="shared" si="9"/>
        <v>13</v>
      </c>
      <c r="I244" s="5">
        <f t="shared" si="10"/>
        <v>7</v>
      </c>
      <c r="J244" s="2" t="s">
        <v>31</v>
      </c>
      <c r="K244" s="2" t="s">
        <v>587</v>
      </c>
      <c r="AD244" s="33" t="str">
        <f t="shared" si="11"/>
        <v>Tuesday</v>
      </c>
    </row>
    <row r="245" spans="1:30" x14ac:dyDescent="0.2">
      <c r="A245" s="23">
        <v>39816</v>
      </c>
      <c r="B245" s="2" t="s">
        <v>36</v>
      </c>
      <c r="C245" t="s">
        <v>48</v>
      </c>
      <c r="D245" t="s">
        <v>208</v>
      </c>
      <c r="E245" s="2">
        <v>45722</v>
      </c>
      <c r="F245" s="2" cm="1">
        <f t="array" ref="F245">_xlfn.IFS(B245="Owner Surrender",E245,B245="Stray",E245+6,B245="Stray w/identification",E245+11,B245="Bite",E245+10,B245="Other",E245+30,B245="BAS",E245+56,B245="Seized",E245)</f>
        <v>45722</v>
      </c>
      <c r="G245" s="2">
        <v>45723</v>
      </c>
      <c r="H245" s="5">
        <f t="shared" si="9"/>
        <v>1</v>
      </c>
      <c r="I245" s="5">
        <f t="shared" si="10"/>
        <v>1</v>
      </c>
      <c r="J245" s="2" t="s">
        <v>31</v>
      </c>
      <c r="K245" s="2" t="s">
        <v>587</v>
      </c>
      <c r="AD245" s="33" t="str">
        <f t="shared" si="11"/>
        <v>Friday</v>
      </c>
    </row>
    <row r="246" spans="1:30" x14ac:dyDescent="0.2">
      <c r="A246" s="23">
        <v>39817</v>
      </c>
      <c r="B246" s="2" t="s">
        <v>36</v>
      </c>
      <c r="C246" t="s">
        <v>48</v>
      </c>
      <c r="D246" t="s">
        <v>208</v>
      </c>
      <c r="E246" s="2">
        <v>45722</v>
      </c>
      <c r="F246" s="2" cm="1">
        <f t="array" ref="F246">_xlfn.IFS(B246="Owner Surrender",E246,B246="Stray",E246+6,B246="Stray w/identification",E246+11,B246="Bite",E246+10,B246="Other",E246+30,B246="BAS",E246+56,B246="Seized",E246)</f>
        <v>45722</v>
      </c>
      <c r="G246" s="2">
        <v>45723</v>
      </c>
      <c r="H246" s="5">
        <f t="shared" si="9"/>
        <v>1</v>
      </c>
      <c r="I246" s="5">
        <f t="shared" si="10"/>
        <v>1</v>
      </c>
      <c r="J246" s="2" t="s">
        <v>31</v>
      </c>
      <c r="K246" s="2" t="s">
        <v>587</v>
      </c>
      <c r="AD246" s="33" t="str">
        <f t="shared" si="11"/>
        <v>Friday</v>
      </c>
    </row>
    <row r="247" spans="1:30" x14ac:dyDescent="0.2">
      <c r="A247" s="23">
        <v>39818</v>
      </c>
      <c r="B247" s="2" t="s">
        <v>36</v>
      </c>
      <c r="C247" t="s">
        <v>48</v>
      </c>
      <c r="D247" t="s">
        <v>208</v>
      </c>
      <c r="E247" s="2">
        <v>45722</v>
      </c>
      <c r="F247" s="2" cm="1">
        <f t="array" ref="F247">_xlfn.IFS(B247="Owner Surrender",E247,B247="Stray",E247+6,B247="Stray w/identification",E247+11,B247="Bite",E247+10,B247="Other",E247+30,B247="BAS",E247+56,B247="Seized",E247)</f>
        <v>45722</v>
      </c>
      <c r="G247" s="2">
        <v>45747</v>
      </c>
      <c r="H247" s="5">
        <f t="shared" si="9"/>
        <v>25</v>
      </c>
      <c r="I247" s="5">
        <f t="shared" si="10"/>
        <v>25</v>
      </c>
      <c r="J247" s="2" t="s">
        <v>11</v>
      </c>
      <c r="K247" s="2" t="s">
        <v>586</v>
      </c>
      <c r="L247" t="s">
        <v>511</v>
      </c>
      <c r="AD247" s="33" t="str">
        <f t="shared" si="11"/>
        <v>Monday</v>
      </c>
    </row>
    <row r="248" spans="1:30" x14ac:dyDescent="0.2">
      <c r="A248" s="23">
        <v>39819</v>
      </c>
      <c r="B248" s="2" t="s">
        <v>36</v>
      </c>
      <c r="C248" t="s">
        <v>48</v>
      </c>
      <c r="D248" t="s">
        <v>208</v>
      </c>
      <c r="E248" s="2">
        <v>45722</v>
      </c>
      <c r="F248" s="2" cm="1">
        <f t="array" ref="F248">_xlfn.IFS(B248="Owner Surrender",E248,B248="Stray",E248+6,B248="Stray w/identification",E248+11,B248="Bite",E248+10,B248="Other",E248+30,B248="BAS",E248+56,B248="Seized",E248)</f>
        <v>45722</v>
      </c>
      <c r="G248" s="2">
        <v>45723</v>
      </c>
      <c r="H248" s="5">
        <f t="shared" si="9"/>
        <v>1</v>
      </c>
      <c r="I248" s="5">
        <f t="shared" si="10"/>
        <v>1</v>
      </c>
      <c r="J248" s="2" t="s">
        <v>31</v>
      </c>
      <c r="K248" s="2" t="s">
        <v>587</v>
      </c>
      <c r="AD248" s="33" t="str">
        <f t="shared" si="11"/>
        <v>Friday</v>
      </c>
    </row>
    <row r="249" spans="1:30" x14ac:dyDescent="0.2">
      <c r="A249" s="23">
        <v>39820</v>
      </c>
      <c r="B249" s="2" t="s">
        <v>36</v>
      </c>
      <c r="C249" t="s">
        <v>48</v>
      </c>
      <c r="D249" t="s">
        <v>208</v>
      </c>
      <c r="E249" s="2">
        <v>45722</v>
      </c>
      <c r="F249" s="2" cm="1">
        <f t="array" ref="F249">_xlfn.IFS(B249="Owner Surrender",E249,B249="Stray",E249+6,B249="Stray w/identification",E249+11,B249="Bite",E249+10,B249="Other",E249+30,B249="BAS",E249+56,B249="Seized",E249)</f>
        <v>45722</v>
      </c>
      <c r="G249" s="2">
        <v>45723</v>
      </c>
      <c r="H249" s="5">
        <f t="shared" si="9"/>
        <v>1</v>
      </c>
      <c r="I249" s="5">
        <f t="shared" si="10"/>
        <v>1</v>
      </c>
      <c r="J249" s="2" t="s">
        <v>31</v>
      </c>
      <c r="K249" s="2" t="s">
        <v>587</v>
      </c>
      <c r="AD249" s="33" t="str">
        <f t="shared" si="11"/>
        <v>Friday</v>
      </c>
    </row>
    <row r="250" spans="1:30" x14ac:dyDescent="0.2">
      <c r="A250" s="23">
        <v>39821</v>
      </c>
      <c r="B250" s="2" t="s">
        <v>36</v>
      </c>
      <c r="C250" t="s">
        <v>48</v>
      </c>
      <c r="D250" t="s">
        <v>208</v>
      </c>
      <c r="E250" s="2">
        <v>45722</v>
      </c>
      <c r="F250" s="2" cm="1">
        <f t="array" ref="F250">_xlfn.IFS(B250="Owner Surrender",E250,B250="Stray",E250+6,B250="Stray w/identification",E250+11,B250="Bite",E250+10,B250="Other",E250+30,B250="BAS",E250+56,B250="Seized",E250)</f>
        <v>45722</v>
      </c>
      <c r="G250" s="2">
        <v>45723</v>
      </c>
      <c r="H250" s="5">
        <f t="shared" si="9"/>
        <v>1</v>
      </c>
      <c r="I250" s="5">
        <f t="shared" si="10"/>
        <v>1</v>
      </c>
      <c r="J250" s="2" t="s">
        <v>31</v>
      </c>
      <c r="K250" s="2" t="s">
        <v>587</v>
      </c>
      <c r="AD250" s="33" t="str">
        <f t="shared" si="11"/>
        <v>Friday</v>
      </c>
    </row>
    <row r="251" spans="1:30" x14ac:dyDescent="0.2">
      <c r="A251" s="23">
        <v>39822</v>
      </c>
      <c r="B251" s="2" t="s">
        <v>36</v>
      </c>
      <c r="C251" t="s">
        <v>48</v>
      </c>
      <c r="D251" t="s">
        <v>208</v>
      </c>
      <c r="E251" s="2">
        <v>45722</v>
      </c>
      <c r="F251" s="2" cm="1">
        <f t="array" ref="F251">_xlfn.IFS(B251="Owner Surrender",E251,B251="Stray",E251+6,B251="Stray w/identification",E251+11,B251="Bite",E251+10,B251="Other",E251+30,B251="BAS",E251+56,B251="Seized",E251)</f>
        <v>45722</v>
      </c>
      <c r="G251" s="2">
        <v>45734</v>
      </c>
      <c r="H251" s="5">
        <f t="shared" si="9"/>
        <v>12</v>
      </c>
      <c r="I251" s="5">
        <f t="shared" si="10"/>
        <v>12</v>
      </c>
      <c r="J251" s="2" t="s">
        <v>11</v>
      </c>
      <c r="K251" s="2" t="s">
        <v>586</v>
      </c>
      <c r="L251" t="s">
        <v>225</v>
      </c>
      <c r="AD251" s="33" t="str">
        <f t="shared" si="11"/>
        <v>Tuesday</v>
      </c>
    </row>
    <row r="252" spans="1:30" x14ac:dyDescent="0.2">
      <c r="A252" s="23">
        <v>39823</v>
      </c>
      <c r="B252" s="2" t="s">
        <v>38</v>
      </c>
      <c r="C252" t="s">
        <v>108</v>
      </c>
      <c r="D252" t="s">
        <v>207</v>
      </c>
      <c r="E252" s="2">
        <v>45722</v>
      </c>
      <c r="F252" s="2" cm="1">
        <f t="array" ref="F252">_xlfn.IFS(B252="Owner Surrender",E252,B252="Stray",E252+6,B252="Stray w/identification",E252+11,B252="Bite",E252+10,B252="Other",E252+30,B252="BAS",E252+56,B252="Seized",E252)</f>
        <v>45728</v>
      </c>
      <c r="G252" s="2">
        <v>45784</v>
      </c>
      <c r="H252" s="5">
        <f t="shared" si="9"/>
        <v>62</v>
      </c>
      <c r="I252" s="5">
        <f t="shared" si="10"/>
        <v>56</v>
      </c>
      <c r="J252" s="2" t="s">
        <v>31</v>
      </c>
      <c r="K252" s="2" t="s">
        <v>587</v>
      </c>
      <c r="AD252" s="33" t="str">
        <f t="shared" si="11"/>
        <v>Wednesday</v>
      </c>
    </row>
    <row r="253" spans="1:30" x14ac:dyDescent="0.2">
      <c r="A253" s="23">
        <v>39825</v>
      </c>
      <c r="B253" s="2" t="s">
        <v>36</v>
      </c>
      <c r="C253" t="s">
        <v>48</v>
      </c>
      <c r="D253" t="s">
        <v>208</v>
      </c>
      <c r="E253" s="2">
        <v>45722</v>
      </c>
      <c r="F253" s="2" cm="1">
        <f t="array" ref="F253">_xlfn.IFS(B253="Owner Surrender",E253,B253="Stray",E253+6,B253="Stray w/identification",E253+11,B253="Bite",E253+10,B253="Other",E253+30,B253="BAS",E253+56,B253="Seized",E253)</f>
        <v>45722</v>
      </c>
      <c r="G253" s="2">
        <v>45729</v>
      </c>
      <c r="H253" s="5">
        <f t="shared" si="9"/>
        <v>7</v>
      </c>
      <c r="I253" s="5">
        <f t="shared" si="10"/>
        <v>7</v>
      </c>
      <c r="J253" s="2" t="s">
        <v>31</v>
      </c>
      <c r="K253" s="2" t="s">
        <v>587</v>
      </c>
      <c r="AD253" s="33" t="str">
        <f t="shared" si="11"/>
        <v>Thursday</v>
      </c>
    </row>
    <row r="254" spans="1:30" x14ac:dyDescent="0.2">
      <c r="A254" s="23">
        <v>39826</v>
      </c>
      <c r="B254" s="2" t="s">
        <v>36</v>
      </c>
      <c r="C254" t="s">
        <v>48</v>
      </c>
      <c r="D254" t="s">
        <v>208</v>
      </c>
      <c r="E254" s="2">
        <v>45722</v>
      </c>
      <c r="F254" s="2" cm="1">
        <f t="array" ref="F254">_xlfn.IFS(B254="Owner Surrender",E254,B254="Stray",E254+6,B254="Stray w/identification",E254+11,B254="Bite",E254+10,B254="Other",E254+30,B254="BAS",E254+56,B254="Seized",E254)</f>
        <v>45722</v>
      </c>
      <c r="G254" s="2">
        <v>45729</v>
      </c>
      <c r="H254" s="5">
        <f t="shared" si="9"/>
        <v>7</v>
      </c>
      <c r="I254" s="5">
        <f t="shared" si="10"/>
        <v>7</v>
      </c>
      <c r="J254" s="2" t="s">
        <v>31</v>
      </c>
      <c r="K254" s="2" t="s">
        <v>587</v>
      </c>
      <c r="AD254" s="33" t="str">
        <f t="shared" si="11"/>
        <v>Thursday</v>
      </c>
    </row>
    <row r="255" spans="1:30" x14ac:dyDescent="0.2">
      <c r="A255" s="23">
        <v>39827</v>
      </c>
      <c r="B255" s="2" t="s">
        <v>36</v>
      </c>
      <c r="C255" t="s">
        <v>48</v>
      </c>
      <c r="D255" t="s">
        <v>208</v>
      </c>
      <c r="E255" s="2">
        <v>45722</v>
      </c>
      <c r="F255" s="2" cm="1">
        <f t="array" ref="F255">_xlfn.IFS(B255="Owner Surrender",E255,B255="Stray",E255+6,B255="Stray w/identification",E255+11,B255="Bite",E255+10,B255="Other",E255+30,B255="BAS",E255+56,B255="Seized",E255)</f>
        <v>45722</v>
      </c>
      <c r="G255" s="2">
        <v>45723</v>
      </c>
      <c r="H255" s="5">
        <f t="shared" si="9"/>
        <v>1</v>
      </c>
      <c r="I255" s="5">
        <f t="shared" si="10"/>
        <v>1</v>
      </c>
      <c r="J255" s="2" t="s">
        <v>31</v>
      </c>
      <c r="K255" s="2" t="s">
        <v>587</v>
      </c>
      <c r="AD255" s="33" t="str">
        <f t="shared" si="11"/>
        <v>Friday</v>
      </c>
    </row>
    <row r="256" spans="1:30" x14ac:dyDescent="0.2">
      <c r="A256" s="23">
        <v>39828</v>
      </c>
      <c r="B256" s="2" t="s">
        <v>36</v>
      </c>
      <c r="C256" t="s">
        <v>48</v>
      </c>
      <c r="D256" t="s">
        <v>208</v>
      </c>
      <c r="E256" s="2">
        <v>45722</v>
      </c>
      <c r="F256" s="2" cm="1">
        <f t="array" ref="F256">_xlfn.IFS(B256="Owner Surrender",E256,B256="Stray",E256+6,B256="Stray w/identification",E256+11,B256="Bite",E256+10,B256="Other",E256+30,B256="BAS",E256+56,B256="Seized",E256)</f>
        <v>45722</v>
      </c>
      <c r="G256" s="2">
        <v>45723</v>
      </c>
      <c r="H256" s="5">
        <f t="shared" si="9"/>
        <v>1</v>
      </c>
      <c r="I256" s="5">
        <f t="shared" si="10"/>
        <v>1</v>
      </c>
      <c r="J256" s="2" t="s">
        <v>31</v>
      </c>
      <c r="K256" s="2" t="s">
        <v>587</v>
      </c>
      <c r="AD256" s="33" t="str">
        <f t="shared" si="11"/>
        <v>Friday</v>
      </c>
    </row>
    <row r="257" spans="1:30" x14ac:dyDescent="0.2">
      <c r="A257" s="23">
        <v>39829</v>
      </c>
      <c r="B257" s="2" t="s">
        <v>36</v>
      </c>
      <c r="C257" t="s">
        <v>49</v>
      </c>
      <c r="D257" t="s">
        <v>207</v>
      </c>
      <c r="E257" s="2">
        <v>45722</v>
      </c>
      <c r="F257" s="2" cm="1">
        <f t="array" ref="F257">_xlfn.IFS(B257="Owner Surrender",E257,B257="Stray",E257+6,B257="Stray w/identification",E257+11,B257="Bite",E257+10,B257="Other",E257+30,B257="BAS",E257+56,B257="Seized",E257)</f>
        <v>45722</v>
      </c>
      <c r="G257" s="2">
        <v>45727</v>
      </c>
      <c r="H257" s="5">
        <f t="shared" si="9"/>
        <v>5</v>
      </c>
      <c r="I257" s="5">
        <f t="shared" si="10"/>
        <v>5</v>
      </c>
      <c r="J257" s="2" t="s">
        <v>31</v>
      </c>
      <c r="K257" s="2" t="s">
        <v>587</v>
      </c>
      <c r="AD257" s="33" t="str">
        <f t="shared" si="11"/>
        <v>Tuesday</v>
      </c>
    </row>
    <row r="258" spans="1:30" x14ac:dyDescent="0.2">
      <c r="A258" s="23">
        <v>39830</v>
      </c>
      <c r="B258" s="2" t="s">
        <v>36</v>
      </c>
      <c r="C258" t="s">
        <v>69</v>
      </c>
      <c r="D258" t="s">
        <v>207</v>
      </c>
      <c r="E258" s="2">
        <v>45722</v>
      </c>
      <c r="F258" s="2" cm="1">
        <f t="array" ref="F258">_xlfn.IFS(B258="Owner Surrender",E258,B258="Stray",E258+6,B258="Stray w/identification",E258+11,B258="Bite",E258+10,B258="Other",E258+30,B258="BAS",E258+56,B258="Seized",E258)</f>
        <v>45722</v>
      </c>
      <c r="G258" s="2">
        <v>45733</v>
      </c>
      <c r="H258" s="5">
        <f t="shared" si="9"/>
        <v>11</v>
      </c>
      <c r="I258" s="5">
        <f t="shared" si="10"/>
        <v>11</v>
      </c>
      <c r="J258" s="2" t="s">
        <v>11</v>
      </c>
      <c r="K258" s="2" t="s">
        <v>586</v>
      </c>
      <c r="L258" t="s">
        <v>153</v>
      </c>
      <c r="AD258" s="33" t="str">
        <f t="shared" si="11"/>
        <v>Monday</v>
      </c>
    </row>
    <row r="259" spans="1:30" x14ac:dyDescent="0.2">
      <c r="A259" s="23">
        <v>39835</v>
      </c>
      <c r="B259" s="2" t="s">
        <v>179</v>
      </c>
      <c r="C259" t="s">
        <v>474</v>
      </c>
      <c r="D259" t="s">
        <v>207</v>
      </c>
      <c r="E259" s="2">
        <v>45722</v>
      </c>
      <c r="F259" s="2" cm="1">
        <f t="array" ref="F259">_xlfn.IFS(B259="Owner Surrender",E259,B259="Stray",E259+6,B259="Stray w/identification",E259+11,B259="Bite",E259+10,B259="Other",E259+30,B259="BAS",E259+56,B259="Seized",E259)</f>
        <v>45733</v>
      </c>
      <c r="G259" s="2">
        <v>45723</v>
      </c>
      <c r="H259" s="5">
        <f t="shared" ref="H259:H322" si="12">+G259-E259</f>
        <v>1</v>
      </c>
      <c r="I259" s="5">
        <f t="shared" ref="I259:I322" si="13">G259-F259</f>
        <v>-10</v>
      </c>
      <c r="J259" s="2" t="s">
        <v>8</v>
      </c>
      <c r="K259" s="2" t="s">
        <v>586</v>
      </c>
      <c r="AD259" s="33" t="str">
        <f t="shared" si="11"/>
        <v>Friday</v>
      </c>
    </row>
    <row r="260" spans="1:30" x14ac:dyDescent="0.2">
      <c r="A260" s="23">
        <v>39836</v>
      </c>
      <c r="B260" s="2" t="s">
        <v>38</v>
      </c>
      <c r="C260" t="s">
        <v>51</v>
      </c>
      <c r="D260" t="s">
        <v>207</v>
      </c>
      <c r="E260" s="2">
        <v>45722</v>
      </c>
      <c r="F260" s="2" cm="1">
        <f t="array" ref="F260">_xlfn.IFS(B260="Owner Surrender",E260,B260="Stray",E260+6,B260="Stray w/identification",E260+11,B260="Bite",E260+10,B260="Other",E260+30,B260="BAS",E260+56,B260="Seized",E260)</f>
        <v>45728</v>
      </c>
      <c r="G260" s="2">
        <v>45724</v>
      </c>
      <c r="H260" s="5">
        <f t="shared" si="12"/>
        <v>2</v>
      </c>
      <c r="I260" s="5">
        <f t="shared" si="13"/>
        <v>-4</v>
      </c>
      <c r="J260" s="2" t="s">
        <v>8</v>
      </c>
      <c r="K260" s="2" t="s">
        <v>586</v>
      </c>
      <c r="AD260" s="33" t="str">
        <f t="shared" ref="AD260:AD323" si="14">TEXT(G260,"DDDD")</f>
        <v>Saturday</v>
      </c>
    </row>
    <row r="261" spans="1:30" x14ac:dyDescent="0.2">
      <c r="A261" s="23">
        <v>39838</v>
      </c>
      <c r="B261" s="2" t="s">
        <v>38</v>
      </c>
      <c r="C261" t="s">
        <v>48</v>
      </c>
      <c r="D261" t="s">
        <v>207</v>
      </c>
      <c r="E261" s="2">
        <v>45723</v>
      </c>
      <c r="F261" s="2" cm="1">
        <f t="array" ref="F261">_xlfn.IFS(B261="Owner Surrender",E261,B261="Stray",E261+6,B261="Stray w/identification",E261+11,B261="Bite",E261+10,B261="Other",E261+30,B261="BAS",E261+56,B261="Seized",E261)</f>
        <v>45729</v>
      </c>
      <c r="G261" s="2">
        <v>45730</v>
      </c>
      <c r="H261" s="5">
        <f t="shared" si="12"/>
        <v>7</v>
      </c>
      <c r="I261" s="5">
        <f t="shared" si="13"/>
        <v>1</v>
      </c>
      <c r="J261" s="2" t="s">
        <v>31</v>
      </c>
      <c r="K261" s="2" t="s">
        <v>587</v>
      </c>
      <c r="AD261" s="33" t="str">
        <f t="shared" si="14"/>
        <v>Friday</v>
      </c>
    </row>
    <row r="262" spans="1:30" x14ac:dyDescent="0.2">
      <c r="A262" s="23">
        <v>39839</v>
      </c>
      <c r="B262" s="2" t="s">
        <v>36</v>
      </c>
      <c r="C262" t="s">
        <v>49</v>
      </c>
      <c r="D262" t="s">
        <v>208</v>
      </c>
      <c r="E262" s="2">
        <v>45723</v>
      </c>
      <c r="F262" s="2" cm="1">
        <f t="array" ref="F262">_xlfn.IFS(B262="Owner Surrender",E262,B262="Stray",E262+6,B262="Stray w/identification",E262+11,B262="Bite",E262+10,B262="Other",E262+30,B262="BAS",E262+56,B262="Seized",E262)</f>
        <v>45723</v>
      </c>
      <c r="G262" s="2">
        <v>45728</v>
      </c>
      <c r="H262" s="5">
        <f t="shared" si="12"/>
        <v>5</v>
      </c>
      <c r="I262" s="5">
        <f t="shared" si="13"/>
        <v>5</v>
      </c>
      <c r="J262" s="2" t="s">
        <v>11</v>
      </c>
      <c r="K262" s="2" t="s">
        <v>586</v>
      </c>
      <c r="AD262" s="33" t="str">
        <f t="shared" si="14"/>
        <v>Wednesday</v>
      </c>
    </row>
    <row r="263" spans="1:30" x14ac:dyDescent="0.2">
      <c r="A263" s="23">
        <v>39841</v>
      </c>
      <c r="B263" s="2" t="s">
        <v>36</v>
      </c>
      <c r="C263" t="s">
        <v>515</v>
      </c>
      <c r="D263" t="s">
        <v>207</v>
      </c>
      <c r="E263" s="2">
        <v>45723</v>
      </c>
      <c r="F263" s="2" cm="1">
        <f t="array" ref="F263">_xlfn.IFS(B263="Owner Surrender",E263,B263="Stray",E263+6,B263="Stray w/identification",E263+11,B263="Bite",E263+10,B263="Other",E263+30,B263="BAS",E263+56,B263="Seized",E263)</f>
        <v>45723</v>
      </c>
      <c r="G263" s="2">
        <v>45729</v>
      </c>
      <c r="H263" s="5">
        <f t="shared" si="12"/>
        <v>6</v>
      </c>
      <c r="I263" s="5">
        <f t="shared" si="13"/>
        <v>6</v>
      </c>
      <c r="J263" s="2" t="s">
        <v>31</v>
      </c>
      <c r="K263" s="2" t="s">
        <v>587</v>
      </c>
      <c r="AD263" s="33" t="str">
        <f t="shared" si="14"/>
        <v>Thursday</v>
      </c>
    </row>
    <row r="264" spans="1:30" x14ac:dyDescent="0.2">
      <c r="A264" s="23">
        <v>39842</v>
      </c>
      <c r="B264" s="2" t="s">
        <v>38</v>
      </c>
      <c r="C264" t="s">
        <v>48</v>
      </c>
      <c r="D264" t="s">
        <v>207</v>
      </c>
      <c r="E264" s="2">
        <v>45723</v>
      </c>
      <c r="F264" s="2" cm="1">
        <f t="array" ref="F264">_xlfn.IFS(B264="Owner Surrender",E264,B264="Stray",E264+6,B264="Stray w/identification",E264+11,B264="Bite",E264+10,B264="Other",E264+30,B264="BAS",E264+56,B264="Seized",E264)</f>
        <v>45729</v>
      </c>
      <c r="G264" s="2">
        <v>45739</v>
      </c>
      <c r="H264" s="5">
        <f t="shared" si="12"/>
        <v>16</v>
      </c>
      <c r="I264" s="5">
        <f t="shared" si="13"/>
        <v>10</v>
      </c>
      <c r="J264" s="2" t="s">
        <v>31</v>
      </c>
      <c r="K264" s="2" t="s">
        <v>587</v>
      </c>
      <c r="AD264" s="33" t="str">
        <f t="shared" si="14"/>
        <v>Sunday</v>
      </c>
    </row>
    <row r="265" spans="1:30" x14ac:dyDescent="0.2">
      <c r="A265" s="23">
        <v>39843</v>
      </c>
      <c r="B265" s="2" t="s">
        <v>179</v>
      </c>
      <c r="C265" t="s">
        <v>48</v>
      </c>
      <c r="D265" t="s">
        <v>207</v>
      </c>
      <c r="E265" s="2">
        <v>45723</v>
      </c>
      <c r="F265" s="2" cm="1">
        <f t="array" ref="F265">_xlfn.IFS(B265="Owner Surrender",E265,B265="Stray",E265+6,B265="Stray w/identification",E265+11,B265="Bite",E265+10,B265="Other",E265+30,B265="BAS",E265+56,B265="Seized",E265)</f>
        <v>45734</v>
      </c>
      <c r="G265" s="2">
        <v>45739</v>
      </c>
      <c r="H265" s="5">
        <f t="shared" si="12"/>
        <v>16</v>
      </c>
      <c r="I265" s="5">
        <f t="shared" si="13"/>
        <v>5</v>
      </c>
      <c r="J265" s="2" t="s">
        <v>31</v>
      </c>
      <c r="K265" s="2" t="s">
        <v>587</v>
      </c>
      <c r="L265" t="s">
        <v>514</v>
      </c>
      <c r="AD265" s="33" t="str">
        <f t="shared" si="14"/>
        <v>Sunday</v>
      </c>
    </row>
    <row r="266" spans="1:30" x14ac:dyDescent="0.2">
      <c r="A266" s="23">
        <v>39844</v>
      </c>
      <c r="B266" s="2" t="s">
        <v>36</v>
      </c>
      <c r="C266" t="s">
        <v>48</v>
      </c>
      <c r="D266" t="s">
        <v>207</v>
      </c>
      <c r="E266" s="2">
        <v>45723</v>
      </c>
      <c r="F266" s="2" cm="1">
        <f t="array" ref="F266">_xlfn.IFS(B266="Owner Surrender",E266,B266="Stray",E266+6,B266="Stray w/identification",E266+11,B266="Bite",E266+10,B266="Other",E266+30,B266="BAS",E266+56,B266="Seized",E266)</f>
        <v>45723</v>
      </c>
      <c r="G266" s="2">
        <v>45727</v>
      </c>
      <c r="H266" s="5">
        <f t="shared" si="12"/>
        <v>4</v>
      </c>
      <c r="I266" s="5">
        <f t="shared" si="13"/>
        <v>4</v>
      </c>
      <c r="J266" s="2" t="s">
        <v>31</v>
      </c>
      <c r="K266" s="2" t="s">
        <v>587</v>
      </c>
      <c r="AD266" s="33" t="str">
        <f t="shared" si="14"/>
        <v>Tuesday</v>
      </c>
    </row>
    <row r="267" spans="1:30" x14ac:dyDescent="0.2">
      <c r="A267" s="23">
        <v>39845</v>
      </c>
      <c r="B267" s="2" t="s">
        <v>38</v>
      </c>
      <c r="C267" t="s">
        <v>422</v>
      </c>
      <c r="D267" t="s">
        <v>207</v>
      </c>
      <c r="E267" s="2">
        <v>45724</v>
      </c>
      <c r="F267" s="2" cm="1">
        <f t="array" ref="F267">_xlfn.IFS(B267="Owner Surrender",E267,B267="Stray",E267+6,B267="Stray w/identification",E267+11,B267="Bite",E267+10,B267="Other",E267+30,B267="BAS",E267+56,B267="Seized",E267)</f>
        <v>45730</v>
      </c>
      <c r="G267" s="2">
        <v>45742</v>
      </c>
      <c r="H267" s="5">
        <f t="shared" si="12"/>
        <v>18</v>
      </c>
      <c r="I267" s="5">
        <f t="shared" si="13"/>
        <v>12</v>
      </c>
      <c r="J267" s="2" t="s">
        <v>31</v>
      </c>
      <c r="K267" s="2" t="s">
        <v>587</v>
      </c>
      <c r="AD267" s="33" t="str">
        <f t="shared" si="14"/>
        <v>Wednesday</v>
      </c>
    </row>
    <row r="268" spans="1:30" x14ac:dyDescent="0.2">
      <c r="A268" s="23">
        <v>39846</v>
      </c>
      <c r="B268" s="2" t="s">
        <v>38</v>
      </c>
      <c r="C268" t="s">
        <v>49</v>
      </c>
      <c r="D268" t="s">
        <v>207</v>
      </c>
      <c r="E268" s="2">
        <v>45726</v>
      </c>
      <c r="F268" s="2" cm="1">
        <f t="array" ref="F268">_xlfn.IFS(B268="Owner Surrender",E268,B268="Stray",E268+6,B268="Stray w/identification",E268+11,B268="Bite",E268+10,B268="Other",E268+30,B268="BAS",E268+56,B268="Seized",E268)</f>
        <v>45732</v>
      </c>
      <c r="G268" s="2">
        <v>45726</v>
      </c>
      <c r="H268" s="5">
        <f t="shared" si="12"/>
        <v>0</v>
      </c>
      <c r="I268" s="5">
        <f t="shared" si="13"/>
        <v>-6</v>
      </c>
      <c r="J268" s="2" t="s">
        <v>8</v>
      </c>
      <c r="K268" s="2" t="s">
        <v>586</v>
      </c>
      <c r="AD268" s="33" t="str">
        <f t="shared" si="14"/>
        <v>Monday</v>
      </c>
    </row>
    <row r="269" spans="1:30" x14ac:dyDescent="0.2">
      <c r="A269" s="23">
        <v>39847</v>
      </c>
      <c r="B269" s="2" t="s">
        <v>179</v>
      </c>
      <c r="C269" t="s">
        <v>508</v>
      </c>
      <c r="D269" t="s">
        <v>207</v>
      </c>
      <c r="E269" s="2">
        <v>45725</v>
      </c>
      <c r="F269" s="2" cm="1">
        <f t="array" ref="F269">_xlfn.IFS(B269="Owner Surrender",E269,B269="Stray",E269+6,B269="Stray w/identification",E269+11,B269="Bite",E269+10,B269="Other",E269+30,B269="BAS",E269+56,B269="Seized",E269)</f>
        <v>45736</v>
      </c>
      <c r="G269" s="2">
        <v>45726</v>
      </c>
      <c r="H269" s="5">
        <f t="shared" si="12"/>
        <v>1</v>
      </c>
      <c r="I269" s="5">
        <f t="shared" si="13"/>
        <v>-10</v>
      </c>
      <c r="J269" s="2" t="s">
        <v>8</v>
      </c>
      <c r="K269" s="2" t="s">
        <v>586</v>
      </c>
      <c r="AD269" s="33" t="str">
        <f t="shared" si="14"/>
        <v>Monday</v>
      </c>
    </row>
    <row r="270" spans="1:30" x14ac:dyDescent="0.2">
      <c r="A270" s="23">
        <v>39848</v>
      </c>
      <c r="B270" s="2" t="s">
        <v>179</v>
      </c>
      <c r="C270" t="s">
        <v>497</v>
      </c>
      <c r="D270" t="s">
        <v>207</v>
      </c>
      <c r="E270" s="2">
        <v>45724</v>
      </c>
      <c r="F270" s="2" cm="1">
        <f t="array" ref="F270">_xlfn.IFS(B270="Owner Surrender",E270,B270="Stray",E270+6,B270="Stray w/identification",E270+11,B270="Bite",E270+10,B270="Other",E270+30,B270="BAS",E270+56,B270="Seized",E270)</f>
        <v>45735</v>
      </c>
      <c r="G270" s="2">
        <v>45742</v>
      </c>
      <c r="H270" s="5">
        <f t="shared" si="12"/>
        <v>18</v>
      </c>
      <c r="I270" s="5">
        <f t="shared" si="13"/>
        <v>7</v>
      </c>
      <c r="J270" s="2" t="s">
        <v>18</v>
      </c>
      <c r="K270" s="2" t="s">
        <v>586</v>
      </c>
      <c r="L270" t="s">
        <v>498</v>
      </c>
      <c r="AD270" s="33" t="str">
        <f t="shared" si="14"/>
        <v>Wednesday</v>
      </c>
    </row>
    <row r="271" spans="1:30" x14ac:dyDescent="0.2">
      <c r="A271" s="23">
        <v>39854</v>
      </c>
      <c r="B271" s="2" t="s">
        <v>52</v>
      </c>
      <c r="C271" t="s">
        <v>78</v>
      </c>
      <c r="D271" t="s">
        <v>208</v>
      </c>
      <c r="E271" s="2">
        <v>45727</v>
      </c>
      <c r="F271" s="2" cm="1">
        <f t="array" ref="F271">_xlfn.IFS(B271="Owner Surrender",E271,B271="Stray",E271+6,B271="Stray w/identification",E271+11,B271="Bite",E271+10,B271="Other",E271+30,B271="BAS",E271+56,B271="Seized",E271)</f>
        <v>45727</v>
      </c>
      <c r="G271" s="2">
        <v>45772</v>
      </c>
      <c r="H271" s="5">
        <f t="shared" si="12"/>
        <v>45</v>
      </c>
      <c r="I271" s="5">
        <f t="shared" si="13"/>
        <v>45</v>
      </c>
      <c r="J271" s="2" t="s">
        <v>31</v>
      </c>
      <c r="K271" s="2" t="s">
        <v>587</v>
      </c>
      <c r="AD271" s="33" t="str">
        <f t="shared" si="14"/>
        <v>Friday</v>
      </c>
    </row>
    <row r="272" spans="1:30" x14ac:dyDescent="0.2">
      <c r="A272" s="23">
        <v>39855</v>
      </c>
      <c r="B272" s="2" t="s">
        <v>52</v>
      </c>
      <c r="C272" t="s">
        <v>78</v>
      </c>
      <c r="D272" t="s">
        <v>208</v>
      </c>
      <c r="E272" s="2">
        <v>45727</v>
      </c>
      <c r="F272" s="2" cm="1">
        <f t="array" ref="F272">_xlfn.IFS(B272="Owner Surrender",E272,B272="Stray",E272+6,B272="Stray w/identification",E272+11,B272="Bite",E272+10,B272="Other",E272+30,B272="BAS",E272+56,B272="Seized",E272)</f>
        <v>45727</v>
      </c>
      <c r="G272" s="2">
        <v>45772</v>
      </c>
      <c r="H272" s="5">
        <f t="shared" si="12"/>
        <v>45</v>
      </c>
      <c r="I272" s="5">
        <f t="shared" si="13"/>
        <v>45</v>
      </c>
      <c r="J272" s="2" t="s">
        <v>31</v>
      </c>
      <c r="K272" s="2" t="s">
        <v>587</v>
      </c>
      <c r="L272" t="s">
        <v>539</v>
      </c>
      <c r="AD272" s="33" t="str">
        <f t="shared" si="14"/>
        <v>Friday</v>
      </c>
    </row>
    <row r="273" spans="1:30" x14ac:dyDescent="0.2">
      <c r="A273" s="23">
        <v>39859</v>
      </c>
      <c r="B273" s="2" t="s">
        <v>36</v>
      </c>
      <c r="C273" t="s">
        <v>49</v>
      </c>
      <c r="D273" t="s">
        <v>207</v>
      </c>
      <c r="E273" s="2">
        <v>45727</v>
      </c>
      <c r="F273" s="2" cm="1">
        <f t="array" ref="F273">_xlfn.IFS(B273="Owner Surrender",E273,B273="Stray",E273+6,B273="Stray w/identification",E273+11,B273="Bite",E273+10,B273="Other",E273+30,B273="BAS",E273+56,B273="Seized",E273)</f>
        <v>45727</v>
      </c>
      <c r="G273" s="2">
        <v>45729</v>
      </c>
      <c r="H273" s="5">
        <f t="shared" si="12"/>
        <v>2</v>
      </c>
      <c r="I273" s="5">
        <f t="shared" si="13"/>
        <v>2</v>
      </c>
      <c r="J273" s="2" t="s">
        <v>31</v>
      </c>
      <c r="K273" s="2" t="s">
        <v>587</v>
      </c>
      <c r="AD273" s="33" t="str">
        <f t="shared" si="14"/>
        <v>Thursday</v>
      </c>
    </row>
    <row r="274" spans="1:30" x14ac:dyDescent="0.2">
      <c r="A274" s="23">
        <v>39865</v>
      </c>
      <c r="B274" s="2" t="s">
        <v>38</v>
      </c>
      <c r="C274" t="s">
        <v>167</v>
      </c>
      <c r="D274" t="s">
        <v>207</v>
      </c>
      <c r="E274" s="2">
        <v>45728</v>
      </c>
      <c r="F274" s="2" cm="1">
        <f t="array" ref="F274">_xlfn.IFS(B274="Owner Surrender",E274,B274="Stray",E274+6,B274="Stray w/identification",E274+11,B274="Bite",E274+10,B274="Other",E274+30,B274="BAS",E274+56,B274="Seized",E274)</f>
        <v>45734</v>
      </c>
      <c r="G274" s="2">
        <v>45748</v>
      </c>
      <c r="H274" s="5">
        <f t="shared" si="12"/>
        <v>20</v>
      </c>
      <c r="I274" s="5">
        <f t="shared" si="13"/>
        <v>14</v>
      </c>
      <c r="J274" s="2" t="s">
        <v>31</v>
      </c>
      <c r="K274" s="2" t="s">
        <v>587</v>
      </c>
      <c r="AD274" s="33" t="str">
        <f t="shared" si="14"/>
        <v>Tuesday</v>
      </c>
    </row>
    <row r="275" spans="1:30" x14ac:dyDescent="0.2">
      <c r="A275" s="23">
        <v>39866</v>
      </c>
      <c r="B275" s="2" t="s">
        <v>36</v>
      </c>
      <c r="C275" t="s">
        <v>82</v>
      </c>
      <c r="D275" t="s">
        <v>209</v>
      </c>
      <c r="E275" s="2">
        <v>45728</v>
      </c>
      <c r="F275" s="2" cm="1">
        <f t="array" ref="F275">_xlfn.IFS(B275="Owner Surrender",E275,B275="Stray",E275+6,B275="Stray w/identification",E275+11,B275="Bite",E275+10,B275="Other",E275+30,B275="BAS",E275+56,B275="Seized",E275)</f>
        <v>45728</v>
      </c>
      <c r="G275" s="2">
        <v>45734</v>
      </c>
      <c r="H275" s="5">
        <f t="shared" si="12"/>
        <v>6</v>
      </c>
      <c r="I275" s="5">
        <f t="shared" si="13"/>
        <v>6</v>
      </c>
      <c r="J275" s="2" t="s">
        <v>11</v>
      </c>
      <c r="K275" s="2" t="s">
        <v>586</v>
      </c>
      <c r="AD275" s="33" t="str">
        <f t="shared" si="14"/>
        <v>Tuesday</v>
      </c>
    </row>
    <row r="276" spans="1:30" x14ac:dyDescent="0.2">
      <c r="A276" s="23">
        <v>39868</v>
      </c>
      <c r="B276" s="2" t="s">
        <v>36</v>
      </c>
      <c r="C276" t="s">
        <v>56</v>
      </c>
      <c r="D276" t="s">
        <v>209</v>
      </c>
      <c r="E276" s="2">
        <v>45728</v>
      </c>
      <c r="F276" s="2" cm="1">
        <f t="array" ref="F276">_xlfn.IFS(B276="Owner Surrender",E276,B276="Stray",E276+6,B276="Stray w/identification",E276+11,B276="Bite",E276+10,B276="Other",E276+30,B276="BAS",E276+56,B276="Seized",E276)</f>
        <v>45728</v>
      </c>
      <c r="G276" s="2">
        <v>45730</v>
      </c>
      <c r="H276" s="5">
        <f t="shared" si="12"/>
        <v>2</v>
      </c>
      <c r="I276" s="5">
        <f t="shared" si="13"/>
        <v>2</v>
      </c>
      <c r="J276" s="2" t="s">
        <v>31</v>
      </c>
      <c r="K276" s="2" t="s">
        <v>587</v>
      </c>
      <c r="AD276" s="33" t="str">
        <f t="shared" si="14"/>
        <v>Friday</v>
      </c>
    </row>
    <row r="277" spans="1:30" x14ac:dyDescent="0.2">
      <c r="A277" s="23">
        <v>39869</v>
      </c>
      <c r="B277" s="2" t="s">
        <v>36</v>
      </c>
      <c r="C277" t="s">
        <v>56</v>
      </c>
      <c r="D277" t="s">
        <v>209</v>
      </c>
      <c r="E277" s="2">
        <v>45728</v>
      </c>
      <c r="F277" s="2" cm="1">
        <f t="array" ref="F277">_xlfn.IFS(B277="Owner Surrender",E277,B277="Stray",E277+6,B277="Stray w/identification",E277+11,B277="Bite",E277+10,B277="Other",E277+30,B277="BAS",E277+56,B277="Seized",E277)</f>
        <v>45728</v>
      </c>
      <c r="G277" s="2">
        <v>45730</v>
      </c>
      <c r="H277" s="5">
        <f t="shared" si="12"/>
        <v>2</v>
      </c>
      <c r="I277" s="5">
        <f t="shared" si="13"/>
        <v>2</v>
      </c>
      <c r="J277" s="2" t="s">
        <v>31</v>
      </c>
      <c r="K277" s="2" t="s">
        <v>587</v>
      </c>
      <c r="AD277" s="33" t="str">
        <f t="shared" si="14"/>
        <v>Friday</v>
      </c>
    </row>
    <row r="278" spans="1:30" x14ac:dyDescent="0.2">
      <c r="A278" s="23">
        <v>39870</v>
      </c>
      <c r="B278" s="2" t="s">
        <v>36</v>
      </c>
      <c r="C278" t="s">
        <v>48</v>
      </c>
      <c r="D278" t="s">
        <v>207</v>
      </c>
      <c r="E278" s="2">
        <v>45728</v>
      </c>
      <c r="F278" s="2" cm="1">
        <f t="array" ref="F278">_xlfn.IFS(B278="Owner Surrender",E278,B278="Stray",E278+6,B278="Stray w/identification",E278+11,B278="Bite",E278+10,B278="Other",E278+30,B278="BAS",E278+56,B278="Seized",E278)</f>
        <v>45728</v>
      </c>
      <c r="G278" s="2">
        <v>45739</v>
      </c>
      <c r="H278" s="5">
        <f t="shared" si="12"/>
        <v>11</v>
      </c>
      <c r="I278" s="5">
        <f t="shared" si="13"/>
        <v>11</v>
      </c>
      <c r="J278" s="2" t="s">
        <v>31</v>
      </c>
      <c r="K278" s="2" t="s">
        <v>587</v>
      </c>
      <c r="AD278" s="33" t="str">
        <f t="shared" si="14"/>
        <v>Sunday</v>
      </c>
    </row>
    <row r="279" spans="1:30" x14ac:dyDescent="0.2">
      <c r="A279" s="23">
        <v>39872</v>
      </c>
      <c r="B279" s="2" t="s">
        <v>38</v>
      </c>
      <c r="C279" t="s">
        <v>82</v>
      </c>
      <c r="D279" t="s">
        <v>207</v>
      </c>
      <c r="E279" s="2">
        <v>45729</v>
      </c>
      <c r="F279" s="2" cm="1">
        <f t="array" ref="F279">_xlfn.IFS(B279="Owner Surrender",E279,B279="Stray",E279+6,B279="Stray w/identification",E279+11,B279="Bite",E279+10,B279="Other",E279+30,B279="BAS",E279+56,B279="Seized",E279)</f>
        <v>45735</v>
      </c>
      <c r="G279" s="2">
        <v>45737</v>
      </c>
      <c r="H279" s="5">
        <f t="shared" si="12"/>
        <v>8</v>
      </c>
      <c r="I279" s="5">
        <f t="shared" si="13"/>
        <v>2</v>
      </c>
      <c r="J279" s="2" t="s">
        <v>11</v>
      </c>
      <c r="K279" s="2" t="s">
        <v>586</v>
      </c>
      <c r="AD279" s="33" t="str">
        <f t="shared" si="14"/>
        <v>Friday</v>
      </c>
    </row>
    <row r="280" spans="1:30" x14ac:dyDescent="0.2">
      <c r="A280" s="23">
        <v>39873</v>
      </c>
      <c r="B280" s="2" t="s">
        <v>38</v>
      </c>
      <c r="C280" t="s">
        <v>82</v>
      </c>
      <c r="D280" t="s">
        <v>207</v>
      </c>
      <c r="E280" s="2">
        <v>45729</v>
      </c>
      <c r="F280" s="2" cm="1">
        <f t="array" ref="F280">_xlfn.IFS(B280="Owner Surrender",E280,B280="Stray",E280+6,B280="Stray w/identification",E280+11,B280="Bite",E280+10,B280="Other",E280+30,B280="BAS",E280+56,B280="Seized",E280)</f>
        <v>45735</v>
      </c>
      <c r="G280" s="2">
        <v>45737</v>
      </c>
      <c r="H280" s="5">
        <f t="shared" si="12"/>
        <v>8</v>
      </c>
      <c r="I280" s="5">
        <f t="shared" si="13"/>
        <v>2</v>
      </c>
      <c r="J280" s="2" t="s">
        <v>11</v>
      </c>
      <c r="K280" s="2" t="s">
        <v>586</v>
      </c>
      <c r="AD280" s="33" t="str">
        <f t="shared" si="14"/>
        <v>Friday</v>
      </c>
    </row>
    <row r="281" spans="1:30" x14ac:dyDescent="0.2">
      <c r="A281" s="23">
        <v>39874</v>
      </c>
      <c r="B281" s="2" t="s">
        <v>36</v>
      </c>
      <c r="C281" t="s">
        <v>148</v>
      </c>
      <c r="D281" t="s">
        <v>208</v>
      </c>
      <c r="E281" s="2">
        <v>45729</v>
      </c>
      <c r="F281" s="2" cm="1">
        <f t="array" ref="F281">_xlfn.IFS(B281="Owner Surrender",E281,B281="Stray",E281+6,B281="Stray w/identification",E281+11,B281="Bite",E281+10,B281="Other",E281+30,B281="BAS",E281+56,B281="Seized",E281)</f>
        <v>45729</v>
      </c>
      <c r="G281" s="2">
        <v>45748</v>
      </c>
      <c r="H281" s="5">
        <f t="shared" si="12"/>
        <v>19</v>
      </c>
      <c r="I281" s="5">
        <f t="shared" si="13"/>
        <v>19</v>
      </c>
      <c r="J281" s="2" t="s">
        <v>31</v>
      </c>
      <c r="K281" s="2" t="s">
        <v>587</v>
      </c>
      <c r="AD281" s="33" t="str">
        <f t="shared" si="14"/>
        <v>Tuesday</v>
      </c>
    </row>
    <row r="282" spans="1:30" x14ac:dyDescent="0.2">
      <c r="A282" s="23">
        <v>39875</v>
      </c>
      <c r="B282" s="2" t="s">
        <v>36</v>
      </c>
      <c r="C282" t="s">
        <v>148</v>
      </c>
      <c r="D282" t="s">
        <v>208</v>
      </c>
      <c r="E282" s="2">
        <v>45729</v>
      </c>
      <c r="F282" s="2" cm="1">
        <f t="array" ref="F282">_xlfn.IFS(B282="Owner Surrender",E282,B282="Stray",E282+6,B282="Stray w/identification",E282+11,B282="Bite",E282+10,B282="Other",E282+30,B282="BAS",E282+56,B282="Seized",E282)</f>
        <v>45729</v>
      </c>
      <c r="G282" s="2">
        <v>45730</v>
      </c>
      <c r="H282" s="5">
        <f t="shared" si="12"/>
        <v>1</v>
      </c>
      <c r="I282" s="5">
        <f t="shared" si="13"/>
        <v>1</v>
      </c>
      <c r="J282" s="2" t="s">
        <v>11</v>
      </c>
      <c r="K282" s="2" t="s">
        <v>586</v>
      </c>
      <c r="AD282" s="33" t="str">
        <f t="shared" si="14"/>
        <v>Friday</v>
      </c>
    </row>
    <row r="283" spans="1:30" x14ac:dyDescent="0.2">
      <c r="A283" s="23">
        <v>39877</v>
      </c>
      <c r="B283" s="2" t="s">
        <v>36</v>
      </c>
      <c r="C283" t="s">
        <v>82</v>
      </c>
      <c r="D283" t="s">
        <v>210</v>
      </c>
      <c r="E283" s="2">
        <v>45729</v>
      </c>
      <c r="F283" s="2" cm="1">
        <f t="array" ref="F283">_xlfn.IFS(B283="Owner Surrender",E283,B283="Stray",E283+6,B283="Stray w/identification",E283+11,B283="Bite",E283+10,B283="Other",E283+30,B283="BAS",E283+56,B283="Seized",E283)</f>
        <v>45729</v>
      </c>
      <c r="G283" s="2">
        <v>45730</v>
      </c>
      <c r="H283" s="5">
        <f t="shared" si="12"/>
        <v>1</v>
      </c>
      <c r="I283" s="5">
        <f t="shared" si="13"/>
        <v>1</v>
      </c>
      <c r="J283" s="2" t="s">
        <v>31</v>
      </c>
      <c r="K283" s="2" t="s">
        <v>587</v>
      </c>
      <c r="AD283" s="33" t="str">
        <f t="shared" si="14"/>
        <v>Friday</v>
      </c>
    </row>
    <row r="284" spans="1:30" x14ac:dyDescent="0.2">
      <c r="A284" s="23">
        <v>39879</v>
      </c>
      <c r="B284" s="2" t="s">
        <v>52</v>
      </c>
      <c r="C284" t="s">
        <v>49</v>
      </c>
      <c r="D284" t="s">
        <v>207</v>
      </c>
      <c r="E284" s="2">
        <v>45729</v>
      </c>
      <c r="F284" s="2" cm="1">
        <f t="array" ref="F284">_xlfn.IFS(B284="Owner Surrender",E284,B284="Stray",E284+6,B284="Stray w/identification",E284+11,B284="Bite",E284+10,B284="Other",E284+30,B284="BAS",E284+56,B284="Seized",E284)</f>
        <v>45729</v>
      </c>
      <c r="G284" s="2">
        <v>45739</v>
      </c>
      <c r="H284" s="5">
        <f t="shared" si="12"/>
        <v>10</v>
      </c>
      <c r="I284" s="5">
        <f t="shared" si="13"/>
        <v>10</v>
      </c>
      <c r="J284" s="2" t="s">
        <v>31</v>
      </c>
      <c r="K284" s="2" t="s">
        <v>587</v>
      </c>
      <c r="AD284" s="33" t="str">
        <f t="shared" si="14"/>
        <v>Sunday</v>
      </c>
    </row>
    <row r="285" spans="1:30" x14ac:dyDescent="0.2">
      <c r="A285" s="23">
        <v>39881</v>
      </c>
      <c r="B285" s="2" t="s">
        <v>36</v>
      </c>
      <c r="C285" t="s">
        <v>281</v>
      </c>
      <c r="D285" t="s">
        <v>208</v>
      </c>
      <c r="E285" s="2">
        <v>45729</v>
      </c>
      <c r="F285" s="2" cm="1">
        <f t="array" ref="F285">_xlfn.IFS(B285="Owner Surrender",E285,B285="Stray",E285+6,B285="Stray w/identification",E285+11,B285="Bite",E285+10,B285="Other",E285+30,B285="BAS",E285+56,B285="Seized",E285)</f>
        <v>45729</v>
      </c>
      <c r="G285" s="2">
        <v>45734</v>
      </c>
      <c r="H285" s="5">
        <f t="shared" si="12"/>
        <v>5</v>
      </c>
      <c r="I285" s="5">
        <f t="shared" si="13"/>
        <v>5</v>
      </c>
      <c r="J285" s="2" t="s">
        <v>31</v>
      </c>
      <c r="K285" s="2" t="s">
        <v>587</v>
      </c>
      <c r="AD285" s="33" t="str">
        <f t="shared" si="14"/>
        <v>Tuesday</v>
      </c>
    </row>
    <row r="286" spans="1:30" x14ac:dyDescent="0.2">
      <c r="A286" s="23">
        <v>39882</v>
      </c>
      <c r="B286" s="2" t="s">
        <v>36</v>
      </c>
      <c r="C286" t="s">
        <v>281</v>
      </c>
      <c r="D286" t="s">
        <v>208</v>
      </c>
      <c r="E286" s="2">
        <v>45729</v>
      </c>
      <c r="F286" s="2" cm="1">
        <f t="array" ref="F286">_xlfn.IFS(B286="Owner Surrender",E286,B286="Stray",E286+6,B286="Stray w/identification",E286+11,B286="Bite",E286+10,B286="Other",E286+30,B286="BAS",E286+56,B286="Seized",E286)</f>
        <v>45729</v>
      </c>
      <c r="G286" s="2">
        <v>45734</v>
      </c>
      <c r="H286" s="5">
        <f t="shared" si="12"/>
        <v>5</v>
      </c>
      <c r="I286" s="5">
        <f t="shared" si="13"/>
        <v>5</v>
      </c>
      <c r="J286" s="2" t="s">
        <v>31</v>
      </c>
      <c r="K286" s="2" t="s">
        <v>587</v>
      </c>
      <c r="AD286" s="33" t="str">
        <f t="shared" si="14"/>
        <v>Tuesday</v>
      </c>
    </row>
    <row r="287" spans="1:30" x14ac:dyDescent="0.2">
      <c r="A287" s="23">
        <v>39883</v>
      </c>
      <c r="B287" s="2" t="s">
        <v>36</v>
      </c>
      <c r="C287" t="s">
        <v>281</v>
      </c>
      <c r="D287" t="s">
        <v>208</v>
      </c>
      <c r="E287" s="2">
        <v>45729</v>
      </c>
      <c r="F287" s="2" cm="1">
        <f t="array" ref="F287">_xlfn.IFS(B287="Owner Surrender",E287,B287="Stray",E287+6,B287="Stray w/identification",E287+11,B287="Bite",E287+10,B287="Other",E287+30,B287="BAS",E287+56,B287="Seized",E287)</f>
        <v>45729</v>
      </c>
      <c r="G287" s="2">
        <v>45744</v>
      </c>
      <c r="H287" s="5">
        <f t="shared" si="12"/>
        <v>15</v>
      </c>
      <c r="I287" s="5">
        <f t="shared" si="13"/>
        <v>15</v>
      </c>
      <c r="J287" s="2" t="s">
        <v>31</v>
      </c>
      <c r="K287" s="2" t="s">
        <v>587</v>
      </c>
      <c r="AD287" s="33" t="str">
        <f t="shared" si="14"/>
        <v>Friday</v>
      </c>
    </row>
    <row r="288" spans="1:30" x14ac:dyDescent="0.2">
      <c r="A288" s="23">
        <v>39884</v>
      </c>
      <c r="B288" s="2" t="s">
        <v>36</v>
      </c>
      <c r="C288" t="s">
        <v>281</v>
      </c>
      <c r="D288" t="s">
        <v>208</v>
      </c>
      <c r="E288" s="2">
        <v>45729</v>
      </c>
      <c r="F288" s="2" cm="1">
        <f t="array" ref="F288">_xlfn.IFS(B288="Owner Surrender",E288,B288="Stray",E288+6,B288="Stray w/identification",E288+11,B288="Bite",E288+10,B288="Other",E288+30,B288="BAS",E288+56,B288="Seized",E288)</f>
        <v>45729</v>
      </c>
      <c r="G288" s="2">
        <v>45744</v>
      </c>
      <c r="H288" s="5">
        <f t="shared" si="12"/>
        <v>15</v>
      </c>
      <c r="I288" s="5">
        <f t="shared" si="13"/>
        <v>15</v>
      </c>
      <c r="J288" s="2" t="s">
        <v>31</v>
      </c>
      <c r="K288" s="2" t="s">
        <v>587</v>
      </c>
      <c r="AD288" s="33" t="str">
        <f t="shared" si="14"/>
        <v>Friday</v>
      </c>
    </row>
    <row r="289" spans="1:30" x14ac:dyDescent="0.2">
      <c r="A289" s="23">
        <v>39885</v>
      </c>
      <c r="B289" s="2" t="s">
        <v>38</v>
      </c>
      <c r="C289" t="s">
        <v>148</v>
      </c>
      <c r="D289" t="s">
        <v>208</v>
      </c>
      <c r="E289" s="2">
        <v>45729</v>
      </c>
      <c r="F289" s="2" cm="1">
        <f t="array" ref="F289">_xlfn.IFS(B289="Owner Surrender",E289,B289="Stray",E289+6,B289="Stray w/identification",E289+11,B289="Bite",E289+10,B289="Other",E289+30,B289="BAS",E289+56,B289="Seized",E289)</f>
        <v>45735</v>
      </c>
      <c r="G289" s="2">
        <v>45748</v>
      </c>
      <c r="H289" s="5">
        <f t="shared" si="12"/>
        <v>19</v>
      </c>
      <c r="I289" s="5">
        <f t="shared" si="13"/>
        <v>13</v>
      </c>
      <c r="J289" s="2" t="s">
        <v>31</v>
      </c>
      <c r="K289" s="2" t="s">
        <v>587</v>
      </c>
      <c r="AD289" s="33" t="str">
        <f t="shared" si="14"/>
        <v>Tuesday</v>
      </c>
    </row>
    <row r="290" spans="1:30" x14ac:dyDescent="0.2">
      <c r="A290" s="23">
        <v>39886</v>
      </c>
      <c r="B290" s="2" t="s">
        <v>38</v>
      </c>
      <c r="C290" t="s">
        <v>148</v>
      </c>
      <c r="D290" t="s">
        <v>208</v>
      </c>
      <c r="E290" s="2">
        <v>45729</v>
      </c>
      <c r="F290" s="2" cm="1">
        <f t="array" ref="F290">_xlfn.IFS(B290="Owner Surrender",E290,B290="Stray",E290+6,B290="Stray w/identification",E290+11,B290="Bite",E290+10,B290="Other",E290+30,B290="BAS",E290+56,B290="Seized",E290)</f>
        <v>45735</v>
      </c>
      <c r="G290" s="2">
        <v>45737</v>
      </c>
      <c r="H290" s="5">
        <f t="shared" si="12"/>
        <v>8</v>
      </c>
      <c r="I290" s="5">
        <f t="shared" si="13"/>
        <v>2</v>
      </c>
      <c r="J290" s="2" t="s">
        <v>11</v>
      </c>
      <c r="K290" s="2" t="s">
        <v>586</v>
      </c>
      <c r="AD290" s="33" t="str">
        <f t="shared" si="14"/>
        <v>Friday</v>
      </c>
    </row>
    <row r="291" spans="1:30" x14ac:dyDescent="0.2">
      <c r="A291" s="23">
        <v>39889</v>
      </c>
      <c r="B291" s="2" t="s">
        <v>36</v>
      </c>
      <c r="C291" t="s">
        <v>75</v>
      </c>
      <c r="D291" t="s">
        <v>209</v>
      </c>
      <c r="E291" s="2">
        <v>45730</v>
      </c>
      <c r="F291" s="2" cm="1">
        <f t="array" ref="F291">_xlfn.IFS(B291="Owner Surrender",E291,B291="Stray",E291+6,B291="Stray w/identification",E291+11,B291="Bite",E291+10,B291="Other",E291+30,B291="BAS",E291+56,B291="Seized",E291)</f>
        <v>45730</v>
      </c>
      <c r="G291" s="2">
        <v>45734</v>
      </c>
      <c r="H291" s="5">
        <f t="shared" si="12"/>
        <v>4</v>
      </c>
      <c r="I291" s="5">
        <f t="shared" si="13"/>
        <v>4</v>
      </c>
      <c r="J291" s="2" t="s">
        <v>31</v>
      </c>
      <c r="K291" s="2" t="s">
        <v>587</v>
      </c>
      <c r="AD291" s="33" t="str">
        <f t="shared" si="14"/>
        <v>Tuesday</v>
      </c>
    </row>
    <row r="292" spans="1:30" x14ac:dyDescent="0.2">
      <c r="A292" s="23">
        <v>39891</v>
      </c>
      <c r="B292" s="2" t="s">
        <v>36</v>
      </c>
      <c r="C292" t="s">
        <v>436</v>
      </c>
      <c r="D292" t="s">
        <v>209</v>
      </c>
      <c r="E292" s="2">
        <v>45730</v>
      </c>
      <c r="F292" s="2" cm="1">
        <f t="array" ref="F292">_xlfn.IFS(B292="Owner Surrender",E292,B292="Stray",E292+6,B292="Stray w/identification",E292+11,B292="Bite",E292+10,B292="Other",E292+30,B292="BAS",E292+56,B292="Seized",E292)</f>
        <v>45730</v>
      </c>
      <c r="G292" s="2">
        <v>45733</v>
      </c>
      <c r="H292" s="5">
        <f t="shared" si="12"/>
        <v>3</v>
      </c>
      <c r="I292" s="5">
        <f t="shared" si="13"/>
        <v>3</v>
      </c>
      <c r="J292" s="2" t="s">
        <v>18</v>
      </c>
      <c r="K292" s="2" t="s">
        <v>586</v>
      </c>
      <c r="L292" t="s">
        <v>57</v>
      </c>
      <c r="AD292" s="33" t="str">
        <f t="shared" si="14"/>
        <v>Monday</v>
      </c>
    </row>
    <row r="293" spans="1:30" x14ac:dyDescent="0.2">
      <c r="A293" s="23">
        <v>39896</v>
      </c>
      <c r="B293" s="2" t="s">
        <v>38</v>
      </c>
      <c r="C293" t="s">
        <v>108</v>
      </c>
      <c r="D293" t="s">
        <v>207</v>
      </c>
      <c r="E293" s="2">
        <v>45732</v>
      </c>
      <c r="F293" s="2" cm="1">
        <f t="array" ref="F293">_xlfn.IFS(B293="Owner Surrender",E293,B293="Stray",E293+6,B293="Stray w/identification",E293+11,B293="Bite",E293+10,B293="Other",E293+30,B293="BAS",E293+56,B293="Seized",E293)</f>
        <v>45738</v>
      </c>
      <c r="G293" s="2">
        <v>45740</v>
      </c>
      <c r="H293" s="5">
        <f t="shared" si="12"/>
        <v>8</v>
      </c>
      <c r="I293" s="5">
        <f t="shared" si="13"/>
        <v>2</v>
      </c>
      <c r="J293" s="2" t="s">
        <v>18</v>
      </c>
      <c r="K293" s="2" t="s">
        <v>586</v>
      </c>
      <c r="AD293" s="33" t="str">
        <f t="shared" si="14"/>
        <v>Monday</v>
      </c>
    </row>
    <row r="294" spans="1:30" x14ac:dyDescent="0.2">
      <c r="A294" s="23">
        <v>39898</v>
      </c>
      <c r="B294" s="2" t="s">
        <v>179</v>
      </c>
      <c r="C294" t="s">
        <v>420</v>
      </c>
      <c r="D294" t="s">
        <v>207</v>
      </c>
      <c r="E294" s="2">
        <v>45733</v>
      </c>
      <c r="F294" s="2" cm="1">
        <f t="array" ref="F294">_xlfn.IFS(B294="Owner Surrender",E294,B294="Stray",E294+6,B294="Stray w/identification",E294+11,B294="Bite",E294+10,B294="Other",E294+30,B294="BAS",E294+56,B294="Seized",E294)</f>
        <v>45744</v>
      </c>
      <c r="G294" s="2">
        <v>45733</v>
      </c>
      <c r="H294" s="5">
        <f t="shared" si="12"/>
        <v>0</v>
      </c>
      <c r="I294" s="5">
        <f t="shared" si="13"/>
        <v>-11</v>
      </c>
      <c r="J294" s="2" t="s">
        <v>8</v>
      </c>
      <c r="K294" s="2" t="s">
        <v>586</v>
      </c>
      <c r="AD294" s="33" t="str">
        <f t="shared" si="14"/>
        <v>Monday</v>
      </c>
    </row>
    <row r="295" spans="1:30" x14ac:dyDescent="0.2">
      <c r="A295" s="23">
        <v>39899</v>
      </c>
      <c r="B295" s="2" t="s">
        <v>36</v>
      </c>
      <c r="C295" t="s">
        <v>509</v>
      </c>
      <c r="D295" t="s">
        <v>207</v>
      </c>
      <c r="E295" s="2">
        <v>45733</v>
      </c>
      <c r="F295" s="2" cm="1">
        <f t="array" ref="F295">_xlfn.IFS(B295="Owner Surrender",E295,B295="Stray",E295+6,B295="Stray w/identification",E295+11,B295="Bite",E295+10,B295="Other",E295+30,B295="BAS",E295+56,B295="Seized",E295)</f>
        <v>45733</v>
      </c>
      <c r="G295" s="2">
        <v>45744</v>
      </c>
      <c r="H295" s="5">
        <f t="shared" si="12"/>
        <v>11</v>
      </c>
      <c r="I295" s="5">
        <f t="shared" si="13"/>
        <v>11</v>
      </c>
      <c r="J295" s="2" t="s">
        <v>11</v>
      </c>
      <c r="K295" s="2" t="s">
        <v>586</v>
      </c>
      <c r="AD295" s="33" t="str">
        <f t="shared" si="14"/>
        <v>Friday</v>
      </c>
    </row>
    <row r="296" spans="1:30" x14ac:dyDescent="0.2">
      <c r="A296" s="23">
        <v>39901</v>
      </c>
      <c r="B296" s="2" t="s">
        <v>36</v>
      </c>
      <c r="C296" t="s">
        <v>102</v>
      </c>
      <c r="D296" t="s">
        <v>208</v>
      </c>
      <c r="E296" s="2">
        <v>45733</v>
      </c>
      <c r="F296" s="2" cm="1">
        <f t="array" ref="F296">_xlfn.IFS(B296="Owner Surrender",E296,B296="Stray",E296+6,B296="Stray w/identification",E296+11,B296="Bite",E296+10,B296="Other",E296+30,B296="BAS",E296+56,B296="Seized",E296)</f>
        <v>45733</v>
      </c>
      <c r="G296" s="2">
        <v>45782</v>
      </c>
      <c r="H296" s="5">
        <f t="shared" si="12"/>
        <v>49</v>
      </c>
      <c r="I296" s="5">
        <f t="shared" si="13"/>
        <v>49</v>
      </c>
      <c r="J296" s="2" t="s">
        <v>11</v>
      </c>
      <c r="K296" s="2" t="s">
        <v>586</v>
      </c>
      <c r="AD296" s="33" t="str">
        <f t="shared" si="14"/>
        <v>Monday</v>
      </c>
    </row>
    <row r="297" spans="1:30" x14ac:dyDescent="0.2">
      <c r="A297" s="23">
        <v>39903</v>
      </c>
      <c r="B297" s="2" t="s">
        <v>36</v>
      </c>
      <c r="C297" t="s">
        <v>82</v>
      </c>
      <c r="D297" t="s">
        <v>207</v>
      </c>
      <c r="E297" s="2">
        <v>45733</v>
      </c>
      <c r="F297" s="2" cm="1">
        <f t="array" ref="F297">_xlfn.IFS(B297="Owner Surrender",E297,B297="Stray",E297+6,B297="Stray w/identification",E297+11,B297="Bite",E297+10,B297="Other",E297+30,B297="BAS",E297+56,B297="Seized",E297)</f>
        <v>45733</v>
      </c>
      <c r="G297" s="2">
        <v>45741</v>
      </c>
      <c r="H297" s="5">
        <f t="shared" si="12"/>
        <v>8</v>
      </c>
      <c r="I297" s="5">
        <f t="shared" si="13"/>
        <v>8</v>
      </c>
      <c r="J297" s="2" t="s">
        <v>11</v>
      </c>
      <c r="K297" s="2" t="s">
        <v>586</v>
      </c>
      <c r="AD297" s="33" t="str">
        <f t="shared" si="14"/>
        <v>Tuesday</v>
      </c>
    </row>
    <row r="298" spans="1:30" x14ac:dyDescent="0.2">
      <c r="A298" s="23">
        <v>39910</v>
      </c>
      <c r="B298" s="2" t="s">
        <v>36</v>
      </c>
      <c r="C298" t="s">
        <v>484</v>
      </c>
      <c r="D298" t="s">
        <v>208</v>
      </c>
      <c r="E298" s="2">
        <v>45734</v>
      </c>
      <c r="F298" s="2" cm="1">
        <f t="array" ref="F298">_xlfn.IFS(B298="Owner Surrender",E298,B298="Stray",E298+6,B298="Stray w/identification",E298+11,B298="Bite",E298+10,B298="Other",E298+30,B298="BAS",E298+56,B298="Seized",E298)</f>
        <v>45734</v>
      </c>
      <c r="G298" s="2">
        <v>45736</v>
      </c>
      <c r="H298" s="5">
        <f t="shared" si="12"/>
        <v>2</v>
      </c>
      <c r="I298" s="5">
        <f t="shared" si="13"/>
        <v>2</v>
      </c>
      <c r="J298" s="2" t="s">
        <v>31</v>
      </c>
      <c r="K298" s="2" t="s">
        <v>587</v>
      </c>
      <c r="AD298" s="33" t="str">
        <f t="shared" si="14"/>
        <v>Thursday</v>
      </c>
    </row>
    <row r="299" spans="1:30" x14ac:dyDescent="0.2">
      <c r="A299" s="23">
        <v>39911</v>
      </c>
      <c r="B299" s="2" t="s">
        <v>36</v>
      </c>
      <c r="C299" t="s">
        <v>484</v>
      </c>
      <c r="D299" t="s">
        <v>208</v>
      </c>
      <c r="E299" s="2">
        <v>45734</v>
      </c>
      <c r="F299" s="2" cm="1">
        <f t="array" ref="F299">_xlfn.IFS(B299="Owner Surrender",E299,B299="Stray",E299+6,B299="Stray w/identification",E299+11,B299="Bite",E299+10,B299="Other",E299+30,B299="BAS",E299+56,B299="Seized",E299)</f>
        <v>45734</v>
      </c>
      <c r="G299" s="2">
        <v>45736</v>
      </c>
      <c r="H299" s="5">
        <f t="shared" si="12"/>
        <v>2</v>
      </c>
      <c r="I299" s="5">
        <f t="shared" si="13"/>
        <v>2</v>
      </c>
      <c r="J299" s="2" t="s">
        <v>31</v>
      </c>
      <c r="K299" s="2" t="s">
        <v>587</v>
      </c>
      <c r="AD299" s="33" t="str">
        <f t="shared" si="14"/>
        <v>Thursday</v>
      </c>
    </row>
    <row r="300" spans="1:30" x14ac:dyDescent="0.2">
      <c r="A300" s="23">
        <v>39912</v>
      </c>
      <c r="B300" s="2" t="s">
        <v>36</v>
      </c>
      <c r="C300" t="s">
        <v>484</v>
      </c>
      <c r="D300" t="s">
        <v>208</v>
      </c>
      <c r="E300" s="2">
        <v>45734</v>
      </c>
      <c r="F300" s="2" cm="1">
        <f t="array" ref="F300">_xlfn.IFS(B300="Owner Surrender",E300,B300="Stray",E300+6,B300="Stray w/identification",E300+11,B300="Bite",E300+10,B300="Other",E300+30,B300="BAS",E300+56,B300="Seized",E300)</f>
        <v>45734</v>
      </c>
      <c r="G300" s="2">
        <v>45736</v>
      </c>
      <c r="H300" s="5">
        <f t="shared" si="12"/>
        <v>2</v>
      </c>
      <c r="I300" s="5">
        <f t="shared" si="13"/>
        <v>2</v>
      </c>
      <c r="J300" s="2" t="s">
        <v>31</v>
      </c>
      <c r="K300" s="2" t="s">
        <v>587</v>
      </c>
      <c r="AD300" s="33" t="str">
        <f t="shared" si="14"/>
        <v>Thursday</v>
      </c>
    </row>
    <row r="301" spans="1:30" x14ac:dyDescent="0.2">
      <c r="A301" s="23">
        <v>39913</v>
      </c>
      <c r="B301" s="2" t="s">
        <v>36</v>
      </c>
      <c r="C301" t="s">
        <v>484</v>
      </c>
      <c r="D301" t="s">
        <v>208</v>
      </c>
      <c r="E301" s="2">
        <v>45734</v>
      </c>
      <c r="F301" s="2" cm="1">
        <f t="array" ref="F301">_xlfn.IFS(B301="Owner Surrender",E301,B301="Stray",E301+6,B301="Stray w/identification",E301+11,B301="Bite",E301+10,B301="Other",E301+30,B301="BAS",E301+56,B301="Seized",E301)</f>
        <v>45734</v>
      </c>
      <c r="G301" s="2">
        <v>45736</v>
      </c>
      <c r="H301" s="5">
        <f t="shared" si="12"/>
        <v>2</v>
      </c>
      <c r="I301" s="5">
        <f t="shared" si="13"/>
        <v>2</v>
      </c>
      <c r="J301" s="2" t="s">
        <v>31</v>
      </c>
      <c r="K301" s="2" t="s">
        <v>587</v>
      </c>
      <c r="AD301" s="33" t="str">
        <f t="shared" si="14"/>
        <v>Thursday</v>
      </c>
    </row>
    <row r="302" spans="1:30" x14ac:dyDescent="0.2">
      <c r="A302" s="23">
        <v>39914</v>
      </c>
      <c r="B302" s="2" t="s">
        <v>36</v>
      </c>
      <c r="C302" t="s">
        <v>484</v>
      </c>
      <c r="D302" t="s">
        <v>208</v>
      </c>
      <c r="E302" s="2">
        <v>45734</v>
      </c>
      <c r="F302" s="2" cm="1">
        <f t="array" ref="F302">_xlfn.IFS(B302="Owner Surrender",E302,B302="Stray",E302+6,B302="Stray w/identification",E302+11,B302="Bite",E302+10,B302="Other",E302+30,B302="BAS",E302+56,B302="Seized",E302)</f>
        <v>45734</v>
      </c>
      <c r="G302" s="2">
        <v>45736</v>
      </c>
      <c r="H302" s="5">
        <f t="shared" si="12"/>
        <v>2</v>
      </c>
      <c r="I302" s="5">
        <f t="shared" si="13"/>
        <v>2</v>
      </c>
      <c r="J302" s="2" t="s">
        <v>31</v>
      </c>
      <c r="K302" s="2" t="s">
        <v>587</v>
      </c>
      <c r="AD302" s="33" t="str">
        <f t="shared" si="14"/>
        <v>Thursday</v>
      </c>
    </row>
    <row r="303" spans="1:30" x14ac:dyDescent="0.2">
      <c r="A303" s="23">
        <v>39915</v>
      </c>
      <c r="B303" s="2" t="s">
        <v>36</v>
      </c>
      <c r="C303" t="s">
        <v>484</v>
      </c>
      <c r="D303" t="s">
        <v>208</v>
      </c>
      <c r="E303" s="2">
        <v>45734</v>
      </c>
      <c r="F303" s="2" cm="1">
        <f t="array" ref="F303">_xlfn.IFS(B303="Owner Surrender",E303,B303="Stray",E303+6,B303="Stray w/identification",E303+11,B303="Bite",E303+10,B303="Other",E303+30,B303="BAS",E303+56,B303="Seized",E303)</f>
        <v>45734</v>
      </c>
      <c r="G303" s="2">
        <v>45736</v>
      </c>
      <c r="H303" s="5">
        <f t="shared" si="12"/>
        <v>2</v>
      </c>
      <c r="I303" s="5">
        <f t="shared" si="13"/>
        <v>2</v>
      </c>
      <c r="J303" s="2" t="s">
        <v>31</v>
      </c>
      <c r="K303" s="2" t="s">
        <v>587</v>
      </c>
      <c r="AD303" s="33" t="str">
        <f t="shared" si="14"/>
        <v>Thursday</v>
      </c>
    </row>
    <row r="304" spans="1:30" x14ac:dyDescent="0.2">
      <c r="A304" s="23">
        <v>39918</v>
      </c>
      <c r="B304" s="2" t="s">
        <v>36</v>
      </c>
      <c r="C304" t="s">
        <v>518</v>
      </c>
      <c r="D304" t="s">
        <v>210</v>
      </c>
      <c r="E304" s="2">
        <v>45735</v>
      </c>
      <c r="F304" s="2" cm="1">
        <f t="array" ref="F304">_xlfn.IFS(B304="Owner Surrender",E304,B304="Stray",E304+6,B304="Stray w/identification",E304+11,B304="Bite",E304+10,B304="Other",E304+30,B304="BAS",E304+56,B304="Seized",E304)</f>
        <v>45735</v>
      </c>
      <c r="G304" s="2">
        <v>45735</v>
      </c>
      <c r="H304" s="5">
        <f t="shared" si="12"/>
        <v>0</v>
      </c>
      <c r="I304" s="5">
        <f t="shared" si="13"/>
        <v>0</v>
      </c>
      <c r="J304" s="2" t="s">
        <v>31</v>
      </c>
      <c r="K304" s="2" t="s">
        <v>589</v>
      </c>
      <c r="M304" t="s">
        <v>519</v>
      </c>
      <c r="AD304" s="33" t="str">
        <f t="shared" si="14"/>
        <v>Wednesday</v>
      </c>
    </row>
    <row r="305" spans="1:30" x14ac:dyDescent="0.2">
      <c r="A305" s="23">
        <v>39919</v>
      </c>
      <c r="B305" s="2" t="s">
        <v>179</v>
      </c>
      <c r="C305" t="s">
        <v>169</v>
      </c>
      <c r="D305" t="s">
        <v>207</v>
      </c>
      <c r="E305" s="2">
        <v>45735</v>
      </c>
      <c r="F305" s="2" cm="1">
        <f t="array" ref="F305">_xlfn.IFS(B305="Owner Surrender",E305,B305="Stray",E305+6,B305="Stray w/identification",E305+11,B305="Bite",E305+10,B305="Other",E305+30,B305="BAS",E305+56,B305="Seized",E305)</f>
        <v>45746</v>
      </c>
      <c r="G305" s="2">
        <v>45740</v>
      </c>
      <c r="H305" s="5">
        <f t="shared" si="12"/>
        <v>5</v>
      </c>
      <c r="I305" s="5">
        <f t="shared" si="13"/>
        <v>-6</v>
      </c>
      <c r="J305" s="2" t="s">
        <v>11</v>
      </c>
      <c r="K305" s="2" t="s">
        <v>586</v>
      </c>
      <c r="AD305" s="33" t="str">
        <f t="shared" si="14"/>
        <v>Monday</v>
      </c>
    </row>
    <row r="306" spans="1:30" x14ac:dyDescent="0.2">
      <c r="A306" s="23">
        <v>39920</v>
      </c>
      <c r="B306" s="2" t="s">
        <v>36</v>
      </c>
      <c r="C306" t="s">
        <v>518</v>
      </c>
      <c r="D306" t="s">
        <v>209</v>
      </c>
      <c r="E306" s="2">
        <v>45735</v>
      </c>
      <c r="F306" s="2" cm="1">
        <f t="array" ref="F306">_xlfn.IFS(B306="Owner Surrender",E306,B306="Stray",E306+6,B306="Stray w/identification",E306+11,B306="Bite",E306+10,B306="Other",E306+30,B306="BAS",E306+56,B306="Seized",E306)</f>
        <v>45735</v>
      </c>
      <c r="G306" s="2">
        <v>45736</v>
      </c>
      <c r="H306" s="5">
        <f t="shared" si="12"/>
        <v>1</v>
      </c>
      <c r="I306" s="5">
        <f t="shared" si="13"/>
        <v>1</v>
      </c>
      <c r="J306" s="2" t="s">
        <v>31</v>
      </c>
      <c r="K306" s="2" t="s">
        <v>588</v>
      </c>
      <c r="M306" t="s">
        <v>33</v>
      </c>
      <c r="AD306" s="33" t="str">
        <f t="shared" si="14"/>
        <v>Thursday</v>
      </c>
    </row>
    <row r="307" spans="1:30" x14ac:dyDescent="0.2">
      <c r="A307" s="23">
        <v>39932</v>
      </c>
      <c r="B307" s="2" t="s">
        <v>179</v>
      </c>
      <c r="C307" t="s">
        <v>49</v>
      </c>
      <c r="D307" t="s">
        <v>207</v>
      </c>
      <c r="E307" s="2">
        <v>45736</v>
      </c>
      <c r="F307" s="2" cm="1">
        <f t="array" ref="F307">_xlfn.IFS(B307="Owner Surrender",E307,B307="Stray",E307+6,B307="Stray w/identification",E307+11,B307="Bite",E307+10,B307="Other",E307+30,B307="BAS",E307+56,B307="Seized",E307)</f>
        <v>45747</v>
      </c>
      <c r="G307" s="2">
        <v>45755</v>
      </c>
      <c r="H307" s="5">
        <f t="shared" si="12"/>
        <v>19</v>
      </c>
      <c r="I307" s="5">
        <f t="shared" si="13"/>
        <v>8</v>
      </c>
      <c r="J307" s="2" t="s">
        <v>31</v>
      </c>
      <c r="K307" s="2" t="s">
        <v>587</v>
      </c>
      <c r="AD307" s="33" t="str">
        <f t="shared" si="14"/>
        <v>Tuesday</v>
      </c>
    </row>
    <row r="308" spans="1:30" x14ac:dyDescent="0.2">
      <c r="A308" s="23">
        <v>39933</v>
      </c>
      <c r="B308" s="2" t="s">
        <v>38</v>
      </c>
      <c r="C308" t="s">
        <v>72</v>
      </c>
      <c r="D308" t="s">
        <v>207</v>
      </c>
      <c r="E308" s="2">
        <v>45736</v>
      </c>
      <c r="F308" s="2" cm="1">
        <f t="array" ref="F308">_xlfn.IFS(B308="Owner Surrender",E308,B308="Stray",E308+6,B308="Stray w/identification",E308+11,B308="Bite",E308+10,B308="Other",E308+30,B308="BAS",E308+56,B308="Seized",E308)</f>
        <v>45742</v>
      </c>
      <c r="G308" s="2">
        <v>45737</v>
      </c>
      <c r="H308" s="5">
        <f t="shared" si="12"/>
        <v>1</v>
      </c>
      <c r="I308" s="5">
        <f t="shared" si="13"/>
        <v>-5</v>
      </c>
      <c r="J308" s="2" t="s">
        <v>8</v>
      </c>
      <c r="K308" s="2" t="s">
        <v>586</v>
      </c>
      <c r="AD308" s="33" t="str">
        <f t="shared" si="14"/>
        <v>Friday</v>
      </c>
    </row>
    <row r="309" spans="1:30" x14ac:dyDescent="0.2">
      <c r="A309" s="23">
        <v>39934</v>
      </c>
      <c r="B309" s="2" t="s">
        <v>36</v>
      </c>
      <c r="C309" t="s">
        <v>494</v>
      </c>
      <c r="D309" t="s">
        <v>208</v>
      </c>
      <c r="E309" s="2">
        <v>45736</v>
      </c>
      <c r="F309" s="2" cm="1">
        <f t="array" ref="F309">_xlfn.IFS(B309="Owner Surrender",E309,B309="Stray",E309+6,B309="Stray w/identification",E309+11,B309="Bite",E309+10,B309="Other",E309+30,B309="BAS",E309+56,B309="Seized",E309)</f>
        <v>45736</v>
      </c>
      <c r="G309" s="2">
        <v>45738</v>
      </c>
      <c r="H309" s="5">
        <f t="shared" si="12"/>
        <v>2</v>
      </c>
      <c r="I309" s="5">
        <f t="shared" si="13"/>
        <v>2</v>
      </c>
      <c r="J309" s="2" t="s">
        <v>11</v>
      </c>
      <c r="K309" s="2" t="s">
        <v>586</v>
      </c>
      <c r="AD309" s="33" t="str">
        <f t="shared" si="14"/>
        <v>Saturday</v>
      </c>
    </row>
    <row r="310" spans="1:30" x14ac:dyDescent="0.2">
      <c r="A310" s="23">
        <v>39935</v>
      </c>
      <c r="B310" s="2" t="s">
        <v>36</v>
      </c>
      <c r="C310" t="s">
        <v>494</v>
      </c>
      <c r="D310" t="s">
        <v>208</v>
      </c>
      <c r="E310" s="2">
        <v>45736</v>
      </c>
      <c r="F310" s="2" cm="1">
        <f t="array" ref="F310">_xlfn.IFS(B310="Owner Surrender",E310,B310="Stray",E310+6,B310="Stray w/identification",E310+11,B310="Bite",E310+10,B310="Other",E310+30,B310="BAS",E310+56,B310="Seized",E310)</f>
        <v>45736</v>
      </c>
      <c r="G310" s="2">
        <v>45765</v>
      </c>
      <c r="H310" s="5">
        <f t="shared" si="12"/>
        <v>29</v>
      </c>
      <c r="I310" s="5">
        <f t="shared" si="13"/>
        <v>29</v>
      </c>
      <c r="J310" s="2" t="s">
        <v>11</v>
      </c>
      <c r="K310" s="2" t="s">
        <v>586</v>
      </c>
      <c r="L310" t="s">
        <v>496</v>
      </c>
      <c r="AD310" s="33" t="str">
        <f t="shared" si="14"/>
        <v>Friday</v>
      </c>
    </row>
    <row r="311" spans="1:30" x14ac:dyDescent="0.2">
      <c r="A311" s="23">
        <v>39936</v>
      </c>
      <c r="B311" s="2" t="s">
        <v>36</v>
      </c>
      <c r="C311" t="s">
        <v>494</v>
      </c>
      <c r="D311" t="s">
        <v>208</v>
      </c>
      <c r="E311" s="2">
        <v>45736</v>
      </c>
      <c r="F311" s="2" cm="1">
        <f t="array" ref="F311">_xlfn.IFS(B311="Owner Surrender",E311,B311="Stray",E311+6,B311="Stray w/identification",E311+11,B311="Bite",E311+10,B311="Other",E311+30,B311="BAS",E311+56,B311="Seized",E311)</f>
        <v>45736</v>
      </c>
      <c r="G311" s="2">
        <v>45744</v>
      </c>
      <c r="H311" s="5">
        <f t="shared" si="12"/>
        <v>8</v>
      </c>
      <c r="I311" s="5">
        <f t="shared" si="13"/>
        <v>8</v>
      </c>
      <c r="J311" s="2" t="s">
        <v>11</v>
      </c>
      <c r="K311" s="2" t="s">
        <v>586</v>
      </c>
      <c r="L311" t="s">
        <v>510</v>
      </c>
      <c r="AD311" s="33" t="str">
        <f t="shared" si="14"/>
        <v>Friday</v>
      </c>
    </row>
    <row r="312" spans="1:30" x14ac:dyDescent="0.2">
      <c r="A312" s="23">
        <v>39937</v>
      </c>
      <c r="B312" s="2" t="s">
        <v>36</v>
      </c>
      <c r="C312" t="s">
        <v>494</v>
      </c>
      <c r="D312" t="s">
        <v>208</v>
      </c>
      <c r="E312" s="2">
        <v>45736</v>
      </c>
      <c r="F312" s="2" cm="1">
        <f t="array" ref="F312">_xlfn.IFS(B312="Owner Surrender",E312,B312="Stray",E312+6,B312="Stray w/identification",E312+11,B312="Bite",E312+10,B312="Other",E312+30,B312="BAS",E312+56,B312="Seized",E312)</f>
        <v>45736</v>
      </c>
      <c r="G312" s="2">
        <v>45742</v>
      </c>
      <c r="H312" s="5">
        <f t="shared" si="12"/>
        <v>6</v>
      </c>
      <c r="I312" s="5">
        <f t="shared" si="13"/>
        <v>6</v>
      </c>
      <c r="J312" s="2" t="s">
        <v>18</v>
      </c>
      <c r="K312" s="2" t="s">
        <v>586</v>
      </c>
      <c r="AD312" s="33" t="str">
        <f t="shared" si="14"/>
        <v>Wednesday</v>
      </c>
    </row>
    <row r="313" spans="1:30" x14ac:dyDescent="0.2">
      <c r="A313" s="23">
        <v>39938</v>
      </c>
      <c r="B313" s="2" t="s">
        <v>36</v>
      </c>
      <c r="C313" t="s">
        <v>494</v>
      </c>
      <c r="D313" t="s">
        <v>208</v>
      </c>
      <c r="E313" s="2">
        <v>45736</v>
      </c>
      <c r="F313" s="2" cm="1">
        <f t="array" ref="F313">_xlfn.IFS(B313="Owner Surrender",E313,B313="Stray",E313+6,B313="Stray w/identification",E313+11,B313="Bite",E313+10,B313="Other",E313+30,B313="BAS",E313+56,B313="Seized",E313)</f>
        <v>45736</v>
      </c>
      <c r="G313" s="2">
        <v>45742</v>
      </c>
      <c r="H313" s="5">
        <f t="shared" si="12"/>
        <v>6</v>
      </c>
      <c r="I313" s="5">
        <f t="shared" si="13"/>
        <v>6</v>
      </c>
      <c r="J313" s="2" t="s">
        <v>18</v>
      </c>
      <c r="K313" s="2" t="s">
        <v>586</v>
      </c>
      <c r="AD313" s="33" t="str">
        <f t="shared" si="14"/>
        <v>Wednesday</v>
      </c>
    </row>
    <row r="314" spans="1:30" x14ac:dyDescent="0.2">
      <c r="A314" s="23">
        <v>39940</v>
      </c>
      <c r="B314" s="2" t="s">
        <v>36</v>
      </c>
      <c r="C314" t="s">
        <v>494</v>
      </c>
      <c r="D314" t="s">
        <v>208</v>
      </c>
      <c r="E314" s="2">
        <v>45736</v>
      </c>
      <c r="F314" s="2" cm="1">
        <f t="array" ref="F314">_xlfn.IFS(B314="Owner Surrender",E314,B314="Stray",E314+6,B314="Stray w/identification",E314+11,B314="Bite",E314+10,B314="Other",E314+30,B314="BAS",E314+56,B314="Seized",E314)</f>
        <v>45736</v>
      </c>
      <c r="G314" s="2">
        <v>45810</v>
      </c>
      <c r="H314" s="5">
        <f t="shared" si="12"/>
        <v>74</v>
      </c>
      <c r="I314" s="5">
        <f t="shared" si="13"/>
        <v>74</v>
      </c>
      <c r="J314" s="2" t="s">
        <v>11</v>
      </c>
      <c r="K314" s="2" t="s">
        <v>586</v>
      </c>
      <c r="L314" t="s">
        <v>495</v>
      </c>
      <c r="AD314" s="33" t="str">
        <f t="shared" si="14"/>
        <v>Monday</v>
      </c>
    </row>
    <row r="315" spans="1:30" x14ac:dyDescent="0.2">
      <c r="A315" s="23">
        <v>39941</v>
      </c>
      <c r="B315" s="2" t="s">
        <v>36</v>
      </c>
      <c r="C315" t="s">
        <v>484</v>
      </c>
      <c r="D315" t="s">
        <v>208</v>
      </c>
      <c r="E315" s="2">
        <v>45736</v>
      </c>
      <c r="F315" s="2" cm="1">
        <f t="array" ref="F315">_xlfn.IFS(B315="Owner Surrender",E315,B315="Stray",E315+6,B315="Stray w/identification",E315+11,B315="Bite",E315+10,B315="Other",E315+30,B315="BAS",E315+56,B315="Seized",E315)</f>
        <v>45736</v>
      </c>
      <c r="G315" s="2">
        <v>45739</v>
      </c>
      <c r="H315" s="5">
        <f t="shared" si="12"/>
        <v>3</v>
      </c>
      <c r="I315" s="5">
        <f t="shared" si="13"/>
        <v>3</v>
      </c>
      <c r="J315" s="2" t="s">
        <v>31</v>
      </c>
      <c r="K315" s="2" t="s">
        <v>587</v>
      </c>
      <c r="AD315" s="33" t="str">
        <f t="shared" si="14"/>
        <v>Sunday</v>
      </c>
    </row>
    <row r="316" spans="1:30" x14ac:dyDescent="0.2">
      <c r="A316" s="23">
        <v>39942</v>
      </c>
      <c r="B316" s="2" t="s">
        <v>36</v>
      </c>
      <c r="C316" t="s">
        <v>484</v>
      </c>
      <c r="D316" t="s">
        <v>208</v>
      </c>
      <c r="E316" s="2">
        <v>45736</v>
      </c>
      <c r="F316" s="2" cm="1">
        <f t="array" ref="F316">_xlfn.IFS(B316="Owner Surrender",E316,B316="Stray",E316+6,B316="Stray w/identification",E316+11,B316="Bite",E316+10,B316="Other",E316+30,B316="BAS",E316+56,B316="Seized",E316)</f>
        <v>45736</v>
      </c>
      <c r="G316" s="2">
        <v>45739</v>
      </c>
      <c r="H316" s="5">
        <f t="shared" si="12"/>
        <v>3</v>
      </c>
      <c r="I316" s="5">
        <f t="shared" si="13"/>
        <v>3</v>
      </c>
      <c r="J316" s="2" t="s">
        <v>31</v>
      </c>
      <c r="K316" s="2" t="s">
        <v>587</v>
      </c>
      <c r="AD316" s="33" t="str">
        <f t="shared" si="14"/>
        <v>Sunday</v>
      </c>
    </row>
    <row r="317" spans="1:30" x14ac:dyDescent="0.2">
      <c r="A317" s="23">
        <v>39943</v>
      </c>
      <c r="B317" s="2" t="s">
        <v>36</v>
      </c>
      <c r="C317" t="s">
        <v>513</v>
      </c>
      <c r="D317" t="s">
        <v>207</v>
      </c>
      <c r="E317" s="2">
        <v>45736</v>
      </c>
      <c r="F317" s="2" cm="1">
        <f t="array" ref="F317">_xlfn.IFS(B317="Owner Surrender",E317,B317="Stray",E317+6,B317="Stray w/identification",E317+11,B317="Bite",E317+10,B317="Other",E317+30,B317="BAS",E317+56,B317="Seized",E317)</f>
        <v>45736</v>
      </c>
      <c r="G317" s="2">
        <v>45739</v>
      </c>
      <c r="H317" s="5">
        <f t="shared" si="12"/>
        <v>3</v>
      </c>
      <c r="I317" s="5">
        <f t="shared" si="13"/>
        <v>3</v>
      </c>
      <c r="J317" s="2" t="s">
        <v>31</v>
      </c>
      <c r="K317" s="2" t="s">
        <v>587</v>
      </c>
      <c r="AD317" s="33" t="str">
        <f t="shared" si="14"/>
        <v>Sunday</v>
      </c>
    </row>
    <row r="318" spans="1:30" x14ac:dyDescent="0.2">
      <c r="A318" s="23">
        <v>39944</v>
      </c>
      <c r="B318" s="2" t="s">
        <v>36</v>
      </c>
      <c r="C318" t="s">
        <v>281</v>
      </c>
      <c r="D318" t="s">
        <v>209</v>
      </c>
      <c r="E318" s="2">
        <v>45736</v>
      </c>
      <c r="F318" s="2" cm="1">
        <f t="array" ref="F318">_xlfn.IFS(B318="Owner Surrender",E318,B318="Stray",E318+6,B318="Stray w/identification",E318+11,B318="Bite",E318+10,B318="Other",E318+30,B318="BAS",E318+56,B318="Seized",E318)</f>
        <v>45736</v>
      </c>
      <c r="G318" s="2">
        <v>45756</v>
      </c>
      <c r="H318" s="5">
        <f t="shared" si="12"/>
        <v>20</v>
      </c>
      <c r="I318" s="5">
        <f t="shared" si="13"/>
        <v>20</v>
      </c>
      <c r="J318" s="2" t="s">
        <v>11</v>
      </c>
      <c r="K318" s="2" t="s">
        <v>586</v>
      </c>
      <c r="AD318" s="33" t="str">
        <f t="shared" si="14"/>
        <v>Wednesday</v>
      </c>
    </row>
    <row r="319" spans="1:30" x14ac:dyDescent="0.2">
      <c r="A319" s="23">
        <v>39953</v>
      </c>
      <c r="B319" s="2" t="s">
        <v>38</v>
      </c>
      <c r="C319" t="s">
        <v>48</v>
      </c>
      <c r="D319" t="s">
        <v>207</v>
      </c>
      <c r="E319" s="2">
        <v>45737</v>
      </c>
      <c r="F319" s="2" cm="1">
        <f t="array" ref="F319">_xlfn.IFS(B319="Owner Surrender",E319,B319="Stray",E319+6,B319="Stray w/identification",E319+11,B319="Bite",E319+10,B319="Other",E319+30,B319="BAS",E319+56,B319="Seized",E319)</f>
        <v>45743</v>
      </c>
      <c r="G319" s="2">
        <v>45744</v>
      </c>
      <c r="H319" s="5">
        <f t="shared" si="12"/>
        <v>7</v>
      </c>
      <c r="I319" s="5">
        <f t="shared" si="13"/>
        <v>1</v>
      </c>
      <c r="J319" s="2" t="s">
        <v>31</v>
      </c>
      <c r="K319" s="2" t="s">
        <v>587</v>
      </c>
      <c r="AD319" s="33" t="str">
        <f t="shared" si="14"/>
        <v>Friday</v>
      </c>
    </row>
    <row r="320" spans="1:30" x14ac:dyDescent="0.2">
      <c r="A320" s="23">
        <v>39954</v>
      </c>
      <c r="B320" s="2" t="s">
        <v>38</v>
      </c>
      <c r="C320" t="s">
        <v>72</v>
      </c>
      <c r="D320" t="s">
        <v>208</v>
      </c>
      <c r="E320" s="2">
        <v>45737</v>
      </c>
      <c r="F320" s="2" cm="1">
        <f t="array" ref="F320">_xlfn.IFS(B320="Owner Surrender",E320,B320="Stray",E320+6,B320="Stray w/identification",E320+11,B320="Bite",E320+10,B320="Other",E320+30,B320="BAS",E320+56,B320="Seized",E320)</f>
        <v>45743</v>
      </c>
      <c r="G320" s="2">
        <v>45744</v>
      </c>
      <c r="H320" s="5">
        <f t="shared" si="12"/>
        <v>7</v>
      </c>
      <c r="I320" s="5">
        <f t="shared" si="13"/>
        <v>1</v>
      </c>
      <c r="J320" s="2" t="s">
        <v>11</v>
      </c>
      <c r="K320" s="2" t="s">
        <v>586</v>
      </c>
      <c r="AD320" s="33" t="str">
        <f t="shared" si="14"/>
        <v>Friday</v>
      </c>
    </row>
    <row r="321" spans="1:30" x14ac:dyDescent="0.2">
      <c r="A321" s="23">
        <v>39962</v>
      </c>
      <c r="B321" s="2" t="s">
        <v>38</v>
      </c>
      <c r="C321" t="s">
        <v>148</v>
      </c>
      <c r="D321" t="s">
        <v>210</v>
      </c>
      <c r="E321" s="2">
        <v>45738</v>
      </c>
      <c r="F321" s="2" cm="1">
        <f t="array" ref="F321">_xlfn.IFS(B321="Owner Surrender",E321,B321="Stray",E321+6,B321="Stray w/identification",E321+11,B321="Bite",E321+10,B321="Other",E321+30,B321="BAS",E321+56,B321="Seized",E321)</f>
        <v>45744</v>
      </c>
      <c r="G321" s="2">
        <v>45738</v>
      </c>
      <c r="H321" s="5">
        <f t="shared" si="12"/>
        <v>0</v>
      </c>
      <c r="I321" s="5">
        <f t="shared" si="13"/>
        <v>-6</v>
      </c>
      <c r="J321" s="2" t="s">
        <v>8</v>
      </c>
      <c r="K321" s="2" t="s">
        <v>586</v>
      </c>
      <c r="AD321" s="33" t="str">
        <f t="shared" si="14"/>
        <v>Saturday</v>
      </c>
    </row>
    <row r="322" spans="1:30" x14ac:dyDescent="0.2">
      <c r="A322" s="23">
        <v>39963</v>
      </c>
      <c r="B322" s="2" t="s">
        <v>179</v>
      </c>
      <c r="C322" t="s">
        <v>56</v>
      </c>
      <c r="D322" t="s">
        <v>207</v>
      </c>
      <c r="E322" s="2">
        <v>45738</v>
      </c>
      <c r="F322" s="2" cm="1">
        <f t="array" ref="F322">_xlfn.IFS(B322="Owner Surrender",E322,B322="Stray",E322+6,B322="Stray w/identification",E322+11,B322="Bite",E322+10,B322="Other",E322+30,B322="BAS",E322+56,B322="Seized",E322)</f>
        <v>45749</v>
      </c>
      <c r="G322" s="2">
        <v>45740</v>
      </c>
      <c r="H322" s="5">
        <f t="shared" si="12"/>
        <v>2</v>
      </c>
      <c r="I322" s="5">
        <f t="shared" si="13"/>
        <v>-9</v>
      </c>
      <c r="J322" s="2" t="s">
        <v>8</v>
      </c>
      <c r="K322" s="2" t="s">
        <v>586</v>
      </c>
      <c r="AD322" s="33" t="str">
        <f t="shared" si="14"/>
        <v>Monday</v>
      </c>
    </row>
    <row r="323" spans="1:30" x14ac:dyDescent="0.2">
      <c r="A323" s="23">
        <v>39968</v>
      </c>
      <c r="B323" s="2" t="s">
        <v>38</v>
      </c>
      <c r="C323" t="s">
        <v>512</v>
      </c>
      <c r="D323" t="s">
        <v>207</v>
      </c>
      <c r="E323" s="2">
        <v>45740</v>
      </c>
      <c r="F323" s="2" cm="1">
        <f t="array" ref="F323">_xlfn.IFS(B323="Owner Surrender",E323,B323="Stray",E323+6,B323="Stray w/identification",E323+11,B323="Bite",E323+10,B323="Other",E323+30,B323="BAS",E323+56,B323="Seized",E323)</f>
        <v>45746</v>
      </c>
      <c r="G323" s="2">
        <v>45747</v>
      </c>
      <c r="H323" s="5">
        <f t="shared" ref="H323:H386" si="15">+G323-E323</f>
        <v>7</v>
      </c>
      <c r="I323" s="5">
        <f t="shared" ref="I323:I386" si="16">G323-F323</f>
        <v>1</v>
      </c>
      <c r="J323" s="2" t="s">
        <v>31</v>
      </c>
      <c r="K323" s="2" t="s">
        <v>587</v>
      </c>
      <c r="AD323" s="33" t="str">
        <f t="shared" si="14"/>
        <v>Monday</v>
      </c>
    </row>
    <row r="324" spans="1:30" x14ac:dyDescent="0.2">
      <c r="A324" s="23">
        <v>39969</v>
      </c>
      <c r="B324" s="2" t="s">
        <v>38</v>
      </c>
      <c r="C324" t="s">
        <v>235</v>
      </c>
      <c r="D324" t="s">
        <v>207</v>
      </c>
      <c r="E324" s="2">
        <v>45740</v>
      </c>
      <c r="F324" s="2" cm="1">
        <f t="array" ref="F324">_xlfn.IFS(B324="Owner Surrender",E324,B324="Stray",E324+6,B324="Stray w/identification",E324+11,B324="Bite",E324+10,B324="Other",E324+30,B324="BAS",E324+56,B324="Seized",E324)</f>
        <v>45746</v>
      </c>
      <c r="G324" s="2">
        <v>45750</v>
      </c>
      <c r="H324" s="5">
        <f t="shared" si="15"/>
        <v>10</v>
      </c>
      <c r="I324" s="5">
        <f t="shared" si="16"/>
        <v>4</v>
      </c>
      <c r="J324" s="2" t="s">
        <v>31</v>
      </c>
      <c r="K324" s="2" t="s">
        <v>587</v>
      </c>
      <c r="L324" t="s">
        <v>537</v>
      </c>
      <c r="AD324" s="33" t="str">
        <f t="shared" ref="AD324:AD387" si="17">TEXT(G324,"DDDD")</f>
        <v>Thursday</v>
      </c>
    </row>
    <row r="325" spans="1:30" x14ac:dyDescent="0.2">
      <c r="A325" s="23">
        <v>39970</v>
      </c>
      <c r="B325" s="2" t="s">
        <v>38</v>
      </c>
      <c r="C325" t="s">
        <v>235</v>
      </c>
      <c r="D325" t="s">
        <v>207</v>
      </c>
      <c r="E325" s="2">
        <v>45740</v>
      </c>
      <c r="F325" s="2" cm="1">
        <f t="array" ref="F325">_xlfn.IFS(B325="Owner Surrender",E325,B325="Stray",E325+6,B325="Stray w/identification",E325+11,B325="Bite",E325+10,B325="Other",E325+30,B325="BAS",E325+56,B325="Seized",E325)</f>
        <v>45746</v>
      </c>
      <c r="G325" s="2">
        <v>45750</v>
      </c>
      <c r="H325" s="5">
        <f t="shared" si="15"/>
        <v>10</v>
      </c>
      <c r="I325" s="5">
        <f t="shared" si="16"/>
        <v>4</v>
      </c>
      <c r="J325" s="2" t="s">
        <v>31</v>
      </c>
      <c r="K325" s="2" t="s">
        <v>587</v>
      </c>
      <c r="AD325" s="33" t="str">
        <f t="shared" si="17"/>
        <v>Thursday</v>
      </c>
    </row>
    <row r="326" spans="1:30" x14ac:dyDescent="0.2">
      <c r="A326" s="23">
        <v>39971</v>
      </c>
      <c r="B326" s="2" t="s">
        <v>36</v>
      </c>
      <c r="C326" t="s">
        <v>55</v>
      </c>
      <c r="D326" t="s">
        <v>208</v>
      </c>
      <c r="E326" s="2">
        <v>45740</v>
      </c>
      <c r="F326" s="2" cm="1">
        <f t="array" ref="F326">_xlfn.IFS(B326="Owner Surrender",E326,B326="Stray",E326+6,B326="Stray w/identification",E326+11,B326="Bite",E326+10,B326="Other",E326+30,B326="BAS",E326+56,B326="Seized",E326)</f>
        <v>45740</v>
      </c>
      <c r="G326" s="2">
        <v>45764</v>
      </c>
      <c r="H326" s="5">
        <f t="shared" si="15"/>
        <v>24</v>
      </c>
      <c r="I326" s="5">
        <f t="shared" si="16"/>
        <v>24</v>
      </c>
      <c r="J326" s="2" t="s">
        <v>11</v>
      </c>
      <c r="K326" s="2" t="s">
        <v>586</v>
      </c>
      <c r="L326" t="s">
        <v>493</v>
      </c>
      <c r="AD326" s="33" t="str">
        <f t="shared" si="17"/>
        <v>Thursday</v>
      </c>
    </row>
    <row r="327" spans="1:30" x14ac:dyDescent="0.2">
      <c r="A327" s="23">
        <v>39973</v>
      </c>
      <c r="B327" s="2" t="s">
        <v>38</v>
      </c>
      <c r="C327" t="s">
        <v>523</v>
      </c>
      <c r="D327" t="s">
        <v>208</v>
      </c>
      <c r="E327" s="2">
        <v>45740</v>
      </c>
      <c r="F327" s="2" cm="1">
        <f t="array" ref="F327">_xlfn.IFS(B327="Owner Surrender",E327,B327="Stray",E327+6,B327="Stray w/identification",E327+11,B327="Bite",E327+10,B327="Other",E327+30,B327="BAS",E327+56,B327="Seized",E327)</f>
        <v>45746</v>
      </c>
      <c r="G327" s="2">
        <v>45748</v>
      </c>
      <c r="H327" s="5">
        <f t="shared" si="15"/>
        <v>8</v>
      </c>
      <c r="I327" s="5">
        <f t="shared" si="16"/>
        <v>2</v>
      </c>
      <c r="J327" s="2" t="s">
        <v>11</v>
      </c>
      <c r="K327" s="2" t="s">
        <v>586</v>
      </c>
      <c r="AD327" s="33" t="str">
        <f t="shared" si="17"/>
        <v>Tuesday</v>
      </c>
    </row>
    <row r="328" spans="1:30" x14ac:dyDescent="0.2">
      <c r="A328" s="23">
        <v>39974</v>
      </c>
      <c r="B328" s="2" t="s">
        <v>38</v>
      </c>
      <c r="C328" t="s">
        <v>523</v>
      </c>
      <c r="D328" t="s">
        <v>208</v>
      </c>
      <c r="E328" s="2">
        <v>45740</v>
      </c>
      <c r="F328" s="2" cm="1">
        <f t="array" ref="F328">_xlfn.IFS(B328="Owner Surrender",E328,B328="Stray",E328+6,B328="Stray w/identification",E328+11,B328="Bite",E328+10,B328="Other",E328+30,B328="BAS",E328+56,B328="Seized",E328)</f>
        <v>45746</v>
      </c>
      <c r="G328" s="2">
        <v>45748</v>
      </c>
      <c r="H328" s="5">
        <f t="shared" si="15"/>
        <v>8</v>
      </c>
      <c r="I328" s="5">
        <f t="shared" si="16"/>
        <v>2</v>
      </c>
      <c r="J328" s="2" t="s">
        <v>11</v>
      </c>
      <c r="K328" s="2" t="s">
        <v>586</v>
      </c>
      <c r="AD328" s="33" t="str">
        <f t="shared" si="17"/>
        <v>Tuesday</v>
      </c>
    </row>
    <row r="329" spans="1:30" x14ac:dyDescent="0.2">
      <c r="A329" s="23">
        <v>39975</v>
      </c>
      <c r="B329" s="2" t="s">
        <v>38</v>
      </c>
      <c r="C329" t="s">
        <v>491</v>
      </c>
      <c r="D329" t="s">
        <v>208</v>
      </c>
      <c r="E329" s="2">
        <v>45740</v>
      </c>
      <c r="F329" s="2" cm="1">
        <f t="array" ref="F329">_xlfn.IFS(B329="Owner Surrender",E329,B329="Stray",E329+6,B329="Stray w/identification",E329+11,B329="Bite",E329+10,B329="Other",E329+30,B329="BAS",E329+56,B329="Seized",E329)</f>
        <v>45746</v>
      </c>
      <c r="G329" s="2">
        <v>45778</v>
      </c>
      <c r="H329" s="5">
        <f t="shared" si="15"/>
        <v>38</v>
      </c>
      <c r="I329" s="5">
        <f t="shared" si="16"/>
        <v>32</v>
      </c>
      <c r="J329" s="2" t="s">
        <v>11</v>
      </c>
      <c r="K329" s="2" t="s">
        <v>586</v>
      </c>
      <c r="L329" t="s">
        <v>492</v>
      </c>
      <c r="AD329" s="33" t="str">
        <f t="shared" si="17"/>
        <v>Thursday</v>
      </c>
    </row>
    <row r="330" spans="1:30" x14ac:dyDescent="0.2">
      <c r="A330" s="23">
        <v>39976</v>
      </c>
      <c r="B330" s="2" t="s">
        <v>38</v>
      </c>
      <c r="C330" t="s">
        <v>523</v>
      </c>
      <c r="D330" t="s">
        <v>208</v>
      </c>
      <c r="E330" s="2">
        <v>45740</v>
      </c>
      <c r="F330" s="2" cm="1">
        <f t="array" ref="F330">_xlfn.IFS(B330="Owner Surrender",E330,B330="Stray",E330+6,B330="Stray w/identification",E330+11,B330="Bite",E330+10,B330="Other",E330+30,B330="BAS",E330+56,B330="Seized",E330)</f>
        <v>45746</v>
      </c>
      <c r="G330" s="2">
        <v>45769</v>
      </c>
      <c r="H330" s="5">
        <f t="shared" si="15"/>
        <v>29</v>
      </c>
      <c r="I330" s="5">
        <f t="shared" si="16"/>
        <v>23</v>
      </c>
      <c r="J330" s="2" t="s">
        <v>11</v>
      </c>
      <c r="K330" s="2" t="s">
        <v>586</v>
      </c>
      <c r="AD330" s="33" t="str">
        <f t="shared" si="17"/>
        <v>Tuesday</v>
      </c>
    </row>
    <row r="331" spans="1:30" x14ac:dyDescent="0.2">
      <c r="A331" s="24">
        <v>39979</v>
      </c>
      <c r="B331" s="15" t="s">
        <v>41</v>
      </c>
      <c r="C331" s="9" t="s">
        <v>55</v>
      </c>
      <c r="D331" s="9" t="s">
        <v>207</v>
      </c>
      <c r="E331" s="15">
        <v>45741</v>
      </c>
      <c r="F331" s="15" cm="1">
        <f t="array" ref="F331">_xlfn.IFS(B331="Owner Surrender",E331,B331="Stray",E331+6,B331="Stray w/identification",E331+11,B331="Bite",E331+10,B331="Other",E331+30,B331="BAS",E331+56,B331="Seized",E331)</f>
        <v>45751</v>
      </c>
      <c r="G331" s="15"/>
      <c r="H331" s="22">
        <f t="shared" si="15"/>
        <v>-45741</v>
      </c>
      <c r="I331" s="22">
        <f t="shared" si="16"/>
        <v>-45751</v>
      </c>
      <c r="J331" s="15" t="s">
        <v>21</v>
      </c>
      <c r="K331" s="2" t="s">
        <v>586</v>
      </c>
      <c r="L331" s="9"/>
      <c r="M331" s="9"/>
      <c r="AD331" s="33" t="str">
        <f t="shared" si="17"/>
        <v>Saturday</v>
      </c>
    </row>
    <row r="332" spans="1:30" x14ac:dyDescent="0.2">
      <c r="A332" s="23">
        <v>39980</v>
      </c>
      <c r="B332" s="2" t="s">
        <v>38</v>
      </c>
      <c r="C332" t="s">
        <v>108</v>
      </c>
      <c r="D332" t="s">
        <v>207</v>
      </c>
      <c r="E332" s="2">
        <v>45740</v>
      </c>
      <c r="F332" s="2" cm="1">
        <f t="array" ref="F332">_xlfn.IFS(B332="Owner Surrender",E332,B332="Stray",E332+6,B332="Stray w/identification",E332+11,B332="Bite",E332+10,B332="Other",E332+30,B332="BAS",E332+56,B332="Seized",E332)</f>
        <v>45746</v>
      </c>
      <c r="G332" s="2">
        <v>45770</v>
      </c>
      <c r="H332" s="5">
        <f t="shared" si="15"/>
        <v>30</v>
      </c>
      <c r="I332" s="5">
        <f t="shared" si="16"/>
        <v>24</v>
      </c>
      <c r="J332" s="2" t="s">
        <v>11</v>
      </c>
      <c r="K332" s="2" t="s">
        <v>586</v>
      </c>
      <c r="AD332" s="33" t="str">
        <f t="shared" si="17"/>
        <v>Wednesday</v>
      </c>
    </row>
    <row r="333" spans="1:30" x14ac:dyDescent="0.2">
      <c r="A333" s="24">
        <v>39981</v>
      </c>
      <c r="B333" s="15" t="s">
        <v>41</v>
      </c>
      <c r="C333" s="9" t="s">
        <v>55</v>
      </c>
      <c r="D333" s="9" t="s">
        <v>210</v>
      </c>
      <c r="E333" s="15">
        <v>45741</v>
      </c>
      <c r="F333" s="15" cm="1">
        <f t="array" ref="F333">_xlfn.IFS(B333="Owner Surrender",E333,B333="Stray",E333+6,B333="Stray w/identification",E333+11,B333="Bite",E333+10,B333="Other",E333+30,B333="BAS",E333+56,B333="Seized",E333)</f>
        <v>45751</v>
      </c>
      <c r="G333" s="15"/>
      <c r="H333" s="22">
        <f t="shared" si="15"/>
        <v>-45741</v>
      </c>
      <c r="I333" s="22">
        <f t="shared" si="16"/>
        <v>-45751</v>
      </c>
      <c r="J333" s="15" t="s">
        <v>21</v>
      </c>
      <c r="K333" s="2" t="s">
        <v>586</v>
      </c>
      <c r="L333" s="9"/>
      <c r="M333" s="9"/>
      <c r="AD333" s="33" t="str">
        <f t="shared" si="17"/>
        <v>Saturday</v>
      </c>
    </row>
    <row r="334" spans="1:30" x14ac:dyDescent="0.2">
      <c r="A334" s="23">
        <v>39982</v>
      </c>
      <c r="B334" s="2" t="s">
        <v>38</v>
      </c>
      <c r="C334" t="s">
        <v>49</v>
      </c>
      <c r="D334" t="s">
        <v>207</v>
      </c>
      <c r="E334" s="2">
        <v>45741</v>
      </c>
      <c r="F334" s="2" cm="1">
        <f t="array" ref="F334">_xlfn.IFS(B334="Owner Surrender",E334,B334="Stray",E334+6,B334="Stray w/identification",E334+11,B334="Bite",E334+10,B334="Other",E334+30,B334="BAS",E334+56,B334="Seized",E334)</f>
        <v>45747</v>
      </c>
      <c r="G334" s="2">
        <v>45743</v>
      </c>
      <c r="H334" s="5">
        <f t="shared" si="15"/>
        <v>2</v>
      </c>
      <c r="I334" s="5">
        <f t="shared" si="16"/>
        <v>-4</v>
      </c>
      <c r="J334" s="2" t="s">
        <v>8</v>
      </c>
      <c r="K334" s="2" t="s">
        <v>586</v>
      </c>
      <c r="AD334" s="33" t="str">
        <f t="shared" si="17"/>
        <v>Thursday</v>
      </c>
    </row>
    <row r="335" spans="1:30" x14ac:dyDescent="0.2">
      <c r="A335" s="23">
        <v>39983</v>
      </c>
      <c r="B335" s="2" t="s">
        <v>36</v>
      </c>
      <c r="C335" t="s">
        <v>48</v>
      </c>
      <c r="D335" t="s">
        <v>207</v>
      </c>
      <c r="E335" s="2">
        <v>45741</v>
      </c>
      <c r="F335" s="2" cm="1">
        <f t="array" ref="F335">_xlfn.IFS(B335="Owner Surrender",E335,B335="Stray",E335+6,B335="Stray w/identification",E335+11,B335="Bite",E335+10,B335="Other",E335+30,B335="BAS",E335+56,B335="Seized",E335)</f>
        <v>45741</v>
      </c>
      <c r="G335" s="2">
        <v>45744</v>
      </c>
      <c r="H335" s="5">
        <f t="shared" si="15"/>
        <v>3</v>
      </c>
      <c r="I335" s="5">
        <f t="shared" si="16"/>
        <v>3</v>
      </c>
      <c r="J335" s="2" t="s">
        <v>31</v>
      </c>
      <c r="K335" s="2" t="s">
        <v>587</v>
      </c>
      <c r="AD335" s="33" t="str">
        <f t="shared" si="17"/>
        <v>Friday</v>
      </c>
    </row>
    <row r="336" spans="1:30" x14ac:dyDescent="0.2">
      <c r="A336" s="23">
        <v>39984</v>
      </c>
      <c r="B336" s="2" t="s">
        <v>179</v>
      </c>
      <c r="C336" t="s">
        <v>95</v>
      </c>
      <c r="D336" t="s">
        <v>207</v>
      </c>
      <c r="E336" s="2">
        <v>45742</v>
      </c>
      <c r="F336" s="2" cm="1">
        <f t="array" ref="F336">_xlfn.IFS(B336="Owner Surrender",E336,B336="Stray",E336+6,B336="Stray w/identification",E336+11,B336="Bite",E336+10,B336="Other",E336+30,B336="BAS",E336+56,B336="Seized",E336)</f>
        <v>45753</v>
      </c>
      <c r="G336" s="2">
        <v>45743</v>
      </c>
      <c r="H336" s="5">
        <f t="shared" si="15"/>
        <v>1</v>
      </c>
      <c r="I336" s="5">
        <f t="shared" si="16"/>
        <v>-10</v>
      </c>
      <c r="J336" s="2" t="s">
        <v>8</v>
      </c>
      <c r="K336" s="2" t="s">
        <v>586</v>
      </c>
      <c r="AD336" s="33" t="str">
        <f t="shared" si="17"/>
        <v>Thursday</v>
      </c>
    </row>
    <row r="337" spans="1:30" x14ac:dyDescent="0.2">
      <c r="A337" s="23">
        <v>39987</v>
      </c>
      <c r="B337" s="2" t="s">
        <v>38</v>
      </c>
      <c r="C337" t="s">
        <v>49</v>
      </c>
      <c r="D337" t="s">
        <v>207</v>
      </c>
      <c r="E337" s="2">
        <v>45741</v>
      </c>
      <c r="F337" s="2" cm="1">
        <f t="array" ref="F337">_xlfn.IFS(B337="Owner Surrender",E337,B337="Stray",E337+6,B337="Stray w/identification",E337+11,B337="Bite",E337+10,B337="Other",E337+30,B337="BAS",E337+56,B337="Seized",E337)</f>
        <v>45747</v>
      </c>
      <c r="G337" s="2">
        <v>45748</v>
      </c>
      <c r="H337" s="5">
        <f t="shared" si="15"/>
        <v>7</v>
      </c>
      <c r="I337" s="5">
        <f t="shared" si="16"/>
        <v>1</v>
      </c>
      <c r="J337" s="2" t="s">
        <v>31</v>
      </c>
      <c r="K337" s="2" t="s">
        <v>587</v>
      </c>
      <c r="AD337" s="33" t="str">
        <f t="shared" si="17"/>
        <v>Tuesday</v>
      </c>
    </row>
    <row r="338" spans="1:30" x14ac:dyDescent="0.2">
      <c r="A338" s="23">
        <v>39989</v>
      </c>
      <c r="B338" s="2" t="s">
        <v>38</v>
      </c>
      <c r="C338" t="s">
        <v>512</v>
      </c>
      <c r="D338" t="s">
        <v>207</v>
      </c>
      <c r="E338" s="2">
        <v>45742</v>
      </c>
      <c r="F338" s="2" cm="1">
        <f t="array" ref="F338">_xlfn.IFS(B338="Owner Surrender",E338,B338="Stray",E338+6,B338="Stray w/identification",E338+11,B338="Bite",E338+10,B338="Other",E338+30,B338="BAS",E338+56,B338="Seized",E338)</f>
        <v>45748</v>
      </c>
      <c r="G338" s="2">
        <v>45755</v>
      </c>
      <c r="H338" s="5">
        <f t="shared" si="15"/>
        <v>13</v>
      </c>
      <c r="I338" s="5">
        <f t="shared" si="16"/>
        <v>7</v>
      </c>
      <c r="J338" s="2" t="s">
        <v>31</v>
      </c>
      <c r="K338" s="2" t="s">
        <v>587</v>
      </c>
      <c r="AD338" s="33" t="str">
        <f t="shared" si="17"/>
        <v>Tuesday</v>
      </c>
    </row>
    <row r="339" spans="1:30" x14ac:dyDescent="0.2">
      <c r="A339" s="23">
        <v>39990</v>
      </c>
      <c r="B339" s="2" t="s">
        <v>36</v>
      </c>
      <c r="C339" t="s">
        <v>55</v>
      </c>
      <c r="D339" t="s">
        <v>207</v>
      </c>
      <c r="E339" s="2">
        <v>45733</v>
      </c>
      <c r="F339" s="2" cm="1">
        <f t="array" ref="F339">_xlfn.IFS(B339="Owner Surrender",E339,B339="Stray",E339+6,B339="Stray w/identification",E339+11,B339="Bite",E339+10,B339="Other",E339+30,B339="BAS",E339+56,B339="Seized",E339)</f>
        <v>45733</v>
      </c>
      <c r="G339" s="2">
        <v>45739</v>
      </c>
      <c r="H339" s="5">
        <f t="shared" si="15"/>
        <v>6</v>
      </c>
      <c r="I339" s="5">
        <f t="shared" si="16"/>
        <v>6</v>
      </c>
      <c r="J339" s="2" t="s">
        <v>31</v>
      </c>
      <c r="K339" s="2" t="s">
        <v>587</v>
      </c>
      <c r="AD339" s="33" t="str">
        <f t="shared" si="17"/>
        <v>Sunday</v>
      </c>
    </row>
    <row r="340" spans="1:30" x14ac:dyDescent="0.2">
      <c r="A340" s="23">
        <v>39998</v>
      </c>
      <c r="B340" s="2" t="s">
        <v>36</v>
      </c>
      <c r="C340" t="s">
        <v>56</v>
      </c>
      <c r="D340" t="s">
        <v>208</v>
      </c>
      <c r="E340" s="2">
        <v>45743</v>
      </c>
      <c r="F340" s="2" cm="1">
        <f t="array" ref="F340">_xlfn.IFS(B340="Owner Surrender",E340,B340="Stray",E340+6,B340="Stray w/identification",E340+11,B340="Bite",E340+10,B340="Other",E340+30,B340="BAS",E340+56,B340="Seized",E340)</f>
        <v>45743</v>
      </c>
      <c r="G340" s="2">
        <v>45751</v>
      </c>
      <c r="H340" s="5">
        <f t="shared" si="15"/>
        <v>8</v>
      </c>
      <c r="I340" s="5">
        <f t="shared" si="16"/>
        <v>8</v>
      </c>
      <c r="J340" s="2" t="s">
        <v>11</v>
      </c>
      <c r="K340" s="2" t="s">
        <v>586</v>
      </c>
      <c r="AD340" s="33" t="str">
        <f t="shared" si="17"/>
        <v>Friday</v>
      </c>
    </row>
    <row r="341" spans="1:30" x14ac:dyDescent="0.2">
      <c r="A341" s="23">
        <v>39999</v>
      </c>
      <c r="B341" s="2" t="s">
        <v>36</v>
      </c>
      <c r="C341" t="s">
        <v>56</v>
      </c>
      <c r="D341" t="s">
        <v>208</v>
      </c>
      <c r="E341" s="2">
        <v>45743</v>
      </c>
      <c r="F341" s="2" cm="1">
        <f t="array" ref="F341">_xlfn.IFS(B341="Owner Surrender",E341,B341="Stray",E341+6,B341="Stray w/identification",E341+11,B341="Bite",E341+10,B341="Other",E341+30,B341="BAS",E341+56,B341="Seized",E341)</f>
        <v>45743</v>
      </c>
      <c r="G341" s="2">
        <v>45757</v>
      </c>
      <c r="H341" s="5">
        <f t="shared" si="15"/>
        <v>14</v>
      </c>
      <c r="I341" s="5">
        <f t="shared" si="16"/>
        <v>14</v>
      </c>
      <c r="J341" s="2" t="s">
        <v>18</v>
      </c>
      <c r="K341" s="2" t="s">
        <v>586</v>
      </c>
      <c r="AD341" s="33" t="str">
        <f t="shared" si="17"/>
        <v>Thursday</v>
      </c>
    </row>
    <row r="342" spans="1:30" x14ac:dyDescent="0.2">
      <c r="A342" s="23">
        <v>40000</v>
      </c>
      <c r="B342" s="2" t="s">
        <v>38</v>
      </c>
      <c r="C342" t="s">
        <v>525</v>
      </c>
      <c r="D342" t="s">
        <v>207</v>
      </c>
      <c r="E342" s="2">
        <v>45743</v>
      </c>
      <c r="F342" s="2" cm="1">
        <f t="array" ref="F342">_xlfn.IFS(B342="Owner Surrender",E342,B342="Stray",E342+6,B342="Stray w/identification",E342+11,B342="Bite",E342+10,B342="Other",E342+30,B342="BAS",E342+56,B342="Seized",E342)</f>
        <v>45749</v>
      </c>
      <c r="G342" s="2">
        <v>45776</v>
      </c>
      <c r="H342" s="5">
        <f t="shared" si="15"/>
        <v>33</v>
      </c>
      <c r="I342" s="5">
        <f t="shared" si="16"/>
        <v>27</v>
      </c>
      <c r="J342" s="2" t="s">
        <v>18</v>
      </c>
      <c r="K342" s="2" t="s">
        <v>586</v>
      </c>
      <c r="AD342" s="33" t="str">
        <f t="shared" si="17"/>
        <v>Tuesday</v>
      </c>
    </row>
    <row r="343" spans="1:30" x14ac:dyDescent="0.2">
      <c r="A343" s="23">
        <v>40003</v>
      </c>
      <c r="B343" s="2" t="s">
        <v>41</v>
      </c>
      <c r="C343" t="s">
        <v>49</v>
      </c>
      <c r="D343" t="s">
        <v>207</v>
      </c>
      <c r="E343" s="2">
        <v>45743</v>
      </c>
      <c r="F343" s="2" cm="1">
        <f t="array" ref="F343">_xlfn.IFS(B343="Owner Surrender",E343,B343="Stray",E343+6,B343="Stray w/identification",E343+11,B343="Bite",E343+10,B343="Other",E343+30,B343="BAS",E343+56,B343="Seized",E343)</f>
        <v>45753</v>
      </c>
      <c r="G343" s="2">
        <v>45755</v>
      </c>
      <c r="H343" s="5">
        <f t="shared" si="15"/>
        <v>12</v>
      </c>
      <c r="I343" s="5">
        <f t="shared" si="16"/>
        <v>2</v>
      </c>
      <c r="J343" s="2" t="s">
        <v>31</v>
      </c>
      <c r="K343" s="2" t="s">
        <v>587</v>
      </c>
      <c r="AD343" s="33" t="str">
        <f t="shared" si="17"/>
        <v>Tuesday</v>
      </c>
    </row>
    <row r="344" spans="1:30" x14ac:dyDescent="0.2">
      <c r="A344" s="23">
        <v>40007</v>
      </c>
      <c r="B344" s="2" t="s">
        <v>38</v>
      </c>
      <c r="C344" t="s">
        <v>51</v>
      </c>
      <c r="D344" t="s">
        <v>207</v>
      </c>
      <c r="E344" s="2">
        <v>45744</v>
      </c>
      <c r="F344" s="2" cm="1">
        <f t="array" ref="F344">_xlfn.IFS(B344="Owner Surrender",E344,B344="Stray",E344+6,B344="Stray w/identification",E344+11,B344="Bite",E344+10,B344="Other",E344+30,B344="BAS",E344+56,B344="Seized",E344)</f>
        <v>45750</v>
      </c>
      <c r="G344" s="2">
        <v>45744</v>
      </c>
      <c r="H344" s="5">
        <f t="shared" si="15"/>
        <v>0</v>
      </c>
      <c r="I344" s="5">
        <f t="shared" si="16"/>
        <v>-6</v>
      </c>
      <c r="J344" s="2" t="s">
        <v>8</v>
      </c>
      <c r="K344" s="2" t="s">
        <v>586</v>
      </c>
      <c r="AD344" s="33" t="str">
        <f t="shared" si="17"/>
        <v>Friday</v>
      </c>
    </row>
    <row r="345" spans="1:30" x14ac:dyDescent="0.2">
      <c r="A345" s="23">
        <v>40011</v>
      </c>
      <c r="B345" s="2" t="s">
        <v>36</v>
      </c>
      <c r="C345" t="s">
        <v>75</v>
      </c>
      <c r="D345" t="s">
        <v>209</v>
      </c>
      <c r="E345" s="2">
        <v>45744</v>
      </c>
      <c r="F345" s="2" cm="1">
        <f t="array" ref="F345">_xlfn.IFS(B345="Owner Surrender",E345,B345="Stray",E345+6,B345="Stray w/identification",E345+11,B345="Bite",E345+10,B345="Other",E345+30,B345="BAS",E345+56,B345="Seized",E345)</f>
        <v>45744</v>
      </c>
      <c r="G345" s="2">
        <v>45747</v>
      </c>
      <c r="H345" s="5">
        <f t="shared" si="15"/>
        <v>3</v>
      </c>
      <c r="I345" s="5">
        <f t="shared" si="16"/>
        <v>3</v>
      </c>
      <c r="J345" s="2" t="s">
        <v>31</v>
      </c>
      <c r="K345" s="2" t="s">
        <v>587</v>
      </c>
      <c r="L345" t="s">
        <v>190</v>
      </c>
      <c r="AD345" s="33" t="str">
        <f t="shared" si="17"/>
        <v>Monday</v>
      </c>
    </row>
    <row r="346" spans="1:30" x14ac:dyDescent="0.2">
      <c r="A346" s="23">
        <v>40012</v>
      </c>
      <c r="B346" s="2" t="s">
        <v>36</v>
      </c>
      <c r="C346" t="s">
        <v>512</v>
      </c>
      <c r="D346" t="s">
        <v>209</v>
      </c>
      <c r="E346" s="2">
        <v>45744</v>
      </c>
      <c r="F346" s="2" cm="1">
        <f t="array" ref="F346">_xlfn.IFS(B346="Owner Surrender",E346,B346="Stray",E346+6,B346="Stray w/identification",E346+11,B346="Bite",E346+10,B346="Other",E346+30,B346="BAS",E346+56,B346="Seized",E346)</f>
        <v>45744</v>
      </c>
      <c r="G346" s="2">
        <v>45747</v>
      </c>
      <c r="H346" s="5">
        <f t="shared" si="15"/>
        <v>3</v>
      </c>
      <c r="I346" s="5">
        <f t="shared" si="16"/>
        <v>3</v>
      </c>
      <c r="J346" s="2" t="s">
        <v>31</v>
      </c>
      <c r="K346" s="2" t="s">
        <v>587</v>
      </c>
      <c r="L346" t="s">
        <v>517</v>
      </c>
      <c r="AD346" s="33" t="str">
        <f t="shared" si="17"/>
        <v>Monday</v>
      </c>
    </row>
    <row r="347" spans="1:30" x14ac:dyDescent="0.2">
      <c r="A347" s="23">
        <v>40014</v>
      </c>
      <c r="B347" s="2" t="s">
        <v>179</v>
      </c>
      <c r="C347" t="s">
        <v>72</v>
      </c>
      <c r="D347" t="s">
        <v>207</v>
      </c>
      <c r="E347" s="2">
        <v>45744</v>
      </c>
      <c r="F347" s="2" cm="1">
        <f t="array" ref="F347">_xlfn.IFS(B347="Owner Surrender",E347,B347="Stray",E347+6,B347="Stray w/identification",E347+11,B347="Bite",E347+10,B347="Other",E347+30,B347="BAS",E347+56,B347="Seized",E347)</f>
        <v>45755</v>
      </c>
      <c r="G347" s="2">
        <v>45763</v>
      </c>
      <c r="H347" s="5">
        <f t="shared" si="15"/>
        <v>19</v>
      </c>
      <c r="I347" s="5">
        <f t="shared" si="16"/>
        <v>8</v>
      </c>
      <c r="J347" s="2" t="s">
        <v>31</v>
      </c>
      <c r="K347" s="2" t="s">
        <v>587</v>
      </c>
      <c r="AD347" s="33" t="str">
        <f t="shared" si="17"/>
        <v>Wednesday</v>
      </c>
    </row>
    <row r="348" spans="1:30" x14ac:dyDescent="0.2">
      <c r="A348" s="23">
        <v>40015</v>
      </c>
      <c r="B348" s="2" t="s">
        <v>36</v>
      </c>
      <c r="C348" t="s">
        <v>71</v>
      </c>
      <c r="D348" t="s">
        <v>207</v>
      </c>
      <c r="E348" s="2">
        <v>45744</v>
      </c>
      <c r="F348" s="2" cm="1">
        <f t="array" ref="F348">_xlfn.IFS(B348="Owner Surrender",E348,B348="Stray",E348+6,B348="Stray w/identification",E348+11,B348="Bite",E348+10,B348="Other",E348+30,B348="BAS",E348+56,B348="Seized",E348)</f>
        <v>45744</v>
      </c>
      <c r="G348" s="2">
        <v>45747</v>
      </c>
      <c r="H348" s="5">
        <f t="shared" si="15"/>
        <v>3</v>
      </c>
      <c r="I348" s="5">
        <f t="shared" si="16"/>
        <v>3</v>
      </c>
      <c r="J348" s="2" t="s">
        <v>31</v>
      </c>
      <c r="K348" s="2" t="s">
        <v>587</v>
      </c>
      <c r="AD348" s="33" t="str">
        <f t="shared" si="17"/>
        <v>Monday</v>
      </c>
    </row>
    <row r="349" spans="1:30" x14ac:dyDescent="0.2">
      <c r="A349" s="23">
        <v>40016</v>
      </c>
      <c r="B349" s="2" t="s">
        <v>36</v>
      </c>
      <c r="C349" t="s">
        <v>48</v>
      </c>
      <c r="D349" t="s">
        <v>207</v>
      </c>
      <c r="E349" s="2">
        <v>45744</v>
      </c>
      <c r="F349" s="2" cm="1">
        <f t="array" ref="F349">_xlfn.IFS(B349="Owner Surrender",E349,B349="Stray",E349+6,B349="Stray w/identification",E349+11,B349="Bite",E349+10,B349="Other",E349+30,B349="BAS",E349+56,B349="Seized",E349)</f>
        <v>45744</v>
      </c>
      <c r="G349" s="2">
        <v>45750</v>
      </c>
      <c r="H349" s="5">
        <f t="shared" si="15"/>
        <v>6</v>
      </c>
      <c r="I349" s="5">
        <f t="shared" si="16"/>
        <v>6</v>
      </c>
      <c r="J349" s="2" t="s">
        <v>31</v>
      </c>
      <c r="K349" s="2" t="s">
        <v>587</v>
      </c>
      <c r="AD349" s="33" t="str">
        <f t="shared" si="17"/>
        <v>Thursday</v>
      </c>
    </row>
    <row r="350" spans="1:30" x14ac:dyDescent="0.2">
      <c r="A350" s="23">
        <v>40017</v>
      </c>
      <c r="B350" s="2" t="s">
        <v>36</v>
      </c>
      <c r="C350" t="s">
        <v>48</v>
      </c>
      <c r="D350" t="s">
        <v>209</v>
      </c>
      <c r="E350" s="2">
        <v>45744</v>
      </c>
      <c r="F350" s="2" cm="1">
        <f t="array" ref="F350">_xlfn.IFS(B350="Owner Surrender",E350,B350="Stray",E350+6,B350="Stray w/identification",E350+11,B350="Bite",E350+10,B350="Other",E350+30,B350="BAS",E350+56,B350="Seized",E350)</f>
        <v>45744</v>
      </c>
      <c r="G350" s="2">
        <v>45750</v>
      </c>
      <c r="H350" s="5">
        <f t="shared" si="15"/>
        <v>6</v>
      </c>
      <c r="I350" s="5">
        <f t="shared" si="16"/>
        <v>6</v>
      </c>
      <c r="J350" s="2" t="s">
        <v>11</v>
      </c>
      <c r="K350" s="2" t="s">
        <v>586</v>
      </c>
      <c r="AD350" s="33" t="str">
        <f t="shared" si="17"/>
        <v>Thursday</v>
      </c>
    </row>
    <row r="351" spans="1:30" x14ac:dyDescent="0.2">
      <c r="A351" s="23">
        <v>40018</v>
      </c>
      <c r="B351" s="2" t="s">
        <v>179</v>
      </c>
      <c r="C351" t="s">
        <v>48</v>
      </c>
      <c r="D351" t="s">
        <v>208</v>
      </c>
      <c r="E351" s="2">
        <v>45745</v>
      </c>
      <c r="F351" s="2" cm="1">
        <f t="array" ref="F351">_xlfn.IFS(B351="Owner Surrender",E351,B351="Stray",E351+6,B351="Stray w/identification",E351+11,B351="Bite",E351+10,B351="Other",E351+30,B351="BAS",E351+56,B351="Seized",E351)</f>
        <v>45756</v>
      </c>
      <c r="G351" s="2">
        <v>45757</v>
      </c>
      <c r="H351" s="5">
        <f t="shared" si="15"/>
        <v>12</v>
      </c>
      <c r="I351" s="5">
        <f t="shared" si="16"/>
        <v>1</v>
      </c>
      <c r="J351" s="2" t="s">
        <v>11</v>
      </c>
      <c r="K351" s="2" t="s">
        <v>586</v>
      </c>
      <c r="L351" t="s">
        <v>490</v>
      </c>
      <c r="AD351" s="33" t="str">
        <f t="shared" si="17"/>
        <v>Thursday</v>
      </c>
    </row>
    <row r="352" spans="1:30" x14ac:dyDescent="0.2">
      <c r="A352" s="23">
        <v>40019</v>
      </c>
      <c r="B352" s="2" t="s">
        <v>36</v>
      </c>
      <c r="C352" t="s">
        <v>48</v>
      </c>
      <c r="D352" t="s">
        <v>207</v>
      </c>
      <c r="E352" s="2">
        <v>45745</v>
      </c>
      <c r="F352" s="2" cm="1">
        <f t="array" ref="F352">_xlfn.IFS(B352="Owner Surrender",E352,B352="Stray",E352+6,B352="Stray w/identification",E352+11,B352="Bite",E352+10,B352="Other",E352+30,B352="BAS",E352+56,B352="Seized",E352)</f>
        <v>45745</v>
      </c>
      <c r="G352" s="2">
        <v>45761</v>
      </c>
      <c r="H352" s="5">
        <f t="shared" si="15"/>
        <v>16</v>
      </c>
      <c r="I352" s="5">
        <f t="shared" si="16"/>
        <v>16</v>
      </c>
      <c r="J352" s="2" t="s">
        <v>31</v>
      </c>
      <c r="K352" s="2" t="s">
        <v>587</v>
      </c>
      <c r="AD352" s="33" t="str">
        <f t="shared" si="17"/>
        <v>Monday</v>
      </c>
    </row>
    <row r="353" spans="1:30" x14ac:dyDescent="0.2">
      <c r="A353" s="23">
        <v>40020</v>
      </c>
      <c r="B353" s="2" t="s">
        <v>36</v>
      </c>
      <c r="C353" t="s">
        <v>139</v>
      </c>
      <c r="D353" t="s">
        <v>207</v>
      </c>
      <c r="E353" s="2">
        <v>45745</v>
      </c>
      <c r="F353" s="2" cm="1">
        <f t="array" ref="F353">_xlfn.IFS(B353="Owner Surrender",E353,B353="Stray",E353+6,B353="Stray w/identification",E353+11,B353="Bite",E353+10,B353="Other",E353+30,B353="BAS",E353+56,B353="Seized",E353)</f>
        <v>45745</v>
      </c>
      <c r="G353" s="2">
        <v>45755</v>
      </c>
      <c r="H353" s="5">
        <f t="shared" si="15"/>
        <v>10</v>
      </c>
      <c r="I353" s="5">
        <f t="shared" si="16"/>
        <v>10</v>
      </c>
      <c r="J353" s="2" t="s">
        <v>31</v>
      </c>
      <c r="K353" s="2" t="s">
        <v>587</v>
      </c>
      <c r="L353" t="s">
        <v>536</v>
      </c>
      <c r="AD353" s="33" t="str">
        <f t="shared" si="17"/>
        <v>Tuesday</v>
      </c>
    </row>
    <row r="354" spans="1:30" x14ac:dyDescent="0.2">
      <c r="A354" s="23">
        <v>40021</v>
      </c>
      <c r="B354" s="2" t="s">
        <v>38</v>
      </c>
      <c r="C354" t="s">
        <v>235</v>
      </c>
      <c r="D354" t="s">
        <v>207</v>
      </c>
      <c r="E354" s="2">
        <v>45745</v>
      </c>
      <c r="F354" s="2" cm="1">
        <f t="array" ref="F354">_xlfn.IFS(B354="Owner Surrender",E354,B354="Stray",E354+6,B354="Stray w/identification",E354+11,B354="Bite",E354+10,B354="Other",E354+30,B354="BAS",E354+56,B354="Seized",E354)</f>
        <v>45751</v>
      </c>
      <c r="G354" s="2">
        <v>45763</v>
      </c>
      <c r="H354" s="5">
        <f t="shared" si="15"/>
        <v>18</v>
      </c>
      <c r="I354" s="5">
        <f t="shared" si="16"/>
        <v>12</v>
      </c>
      <c r="J354" s="2" t="s">
        <v>31</v>
      </c>
      <c r="K354" s="2" t="s">
        <v>587</v>
      </c>
      <c r="L354" t="s">
        <v>535</v>
      </c>
      <c r="AD354" s="33" t="str">
        <f t="shared" si="17"/>
        <v>Wednesday</v>
      </c>
    </row>
    <row r="355" spans="1:30" x14ac:dyDescent="0.2">
      <c r="A355" s="23">
        <v>40024</v>
      </c>
      <c r="B355" s="2" t="s">
        <v>38</v>
      </c>
      <c r="C355" t="s">
        <v>48</v>
      </c>
      <c r="D355" t="s">
        <v>207</v>
      </c>
      <c r="E355" s="2">
        <v>45745</v>
      </c>
      <c r="F355" s="2" cm="1">
        <f t="array" ref="F355">_xlfn.IFS(B355="Owner Surrender",E355,B355="Stray",E355+6,B355="Stray w/identification",E355+11,B355="Bite",E355+10,B355="Other",E355+30,B355="BAS",E355+56,B355="Seized",E355)</f>
        <v>45751</v>
      </c>
      <c r="G355" s="2">
        <v>45850</v>
      </c>
      <c r="H355" s="5">
        <f t="shared" si="15"/>
        <v>105</v>
      </c>
      <c r="I355" s="5">
        <f t="shared" si="16"/>
        <v>99</v>
      </c>
      <c r="J355" s="2" t="s">
        <v>18</v>
      </c>
      <c r="K355" s="2" t="s">
        <v>586</v>
      </c>
      <c r="L355" s="2" t="s">
        <v>91</v>
      </c>
      <c r="M355" s="2" t="s">
        <v>86</v>
      </c>
      <c r="AD355" s="33" t="str">
        <f t="shared" si="17"/>
        <v>Saturday</v>
      </c>
    </row>
    <row r="356" spans="1:30" x14ac:dyDescent="0.2">
      <c r="A356" s="23">
        <v>40025</v>
      </c>
      <c r="B356" s="2" t="s">
        <v>36</v>
      </c>
      <c r="C356" t="s">
        <v>48</v>
      </c>
      <c r="D356" t="s">
        <v>207</v>
      </c>
      <c r="E356" s="2">
        <v>45747</v>
      </c>
      <c r="F356" s="2" cm="1">
        <f t="array" ref="F356">_xlfn.IFS(B356="Owner Surrender",E356,B356="Stray",E356+6,B356="Stray w/identification",E356+11,B356="Bite",E356+10,B356="Other",E356+30,B356="BAS",E356+56,B356="Seized",E356)</f>
        <v>45747</v>
      </c>
      <c r="G356" s="2">
        <v>45750</v>
      </c>
      <c r="H356" s="5">
        <f t="shared" si="15"/>
        <v>3</v>
      </c>
      <c r="I356" s="5">
        <f t="shared" si="16"/>
        <v>3</v>
      </c>
      <c r="J356" s="2" t="s">
        <v>31</v>
      </c>
      <c r="K356" s="2" t="s">
        <v>587</v>
      </c>
      <c r="L356" t="s">
        <v>534</v>
      </c>
      <c r="AD356" s="33" t="str">
        <f t="shared" si="17"/>
        <v>Thursday</v>
      </c>
    </row>
    <row r="357" spans="1:30" x14ac:dyDescent="0.2">
      <c r="A357" s="23">
        <v>40028</v>
      </c>
      <c r="B357" s="2" t="s">
        <v>38</v>
      </c>
      <c r="C357" t="s">
        <v>49</v>
      </c>
      <c r="D357" t="s">
        <v>207</v>
      </c>
      <c r="E357" s="2">
        <v>45747</v>
      </c>
      <c r="F357" s="2" cm="1">
        <f t="array" ref="F357">_xlfn.IFS(B357="Owner Surrender",E357,B357="Stray",E357+6,B357="Stray w/identification",E357+11,B357="Bite",E357+10,B357="Other",E357+30,B357="BAS",E357+56,B357="Seized",E357)</f>
        <v>45753</v>
      </c>
      <c r="G357" s="2">
        <v>45755</v>
      </c>
      <c r="H357" s="5">
        <f t="shared" si="15"/>
        <v>8</v>
      </c>
      <c r="I357" s="5">
        <f t="shared" si="16"/>
        <v>2</v>
      </c>
      <c r="J357" s="2" t="s">
        <v>31</v>
      </c>
      <c r="K357" s="2" t="s">
        <v>587</v>
      </c>
      <c r="AD357" s="33" t="str">
        <f t="shared" si="17"/>
        <v>Tuesday</v>
      </c>
    </row>
    <row r="358" spans="1:30" x14ac:dyDescent="0.2">
      <c r="A358" s="23">
        <v>40029</v>
      </c>
      <c r="B358" s="2" t="s">
        <v>38</v>
      </c>
      <c r="C358" t="s">
        <v>507</v>
      </c>
      <c r="D358" t="s">
        <v>207</v>
      </c>
      <c r="E358" s="2">
        <v>45747</v>
      </c>
      <c r="F358" s="2" cm="1">
        <f t="array" ref="F358">_xlfn.IFS(B358="Owner Surrender",E358,B358="Stray",E358+6,B358="Stray w/identification",E358+11,B358="Bite",E358+10,B358="Other",E358+30,B358="BAS",E358+56,B358="Seized",E358)</f>
        <v>45753</v>
      </c>
      <c r="G358" s="2">
        <v>45747</v>
      </c>
      <c r="H358" s="5">
        <f t="shared" si="15"/>
        <v>0</v>
      </c>
      <c r="I358" s="5">
        <f t="shared" si="16"/>
        <v>-6</v>
      </c>
      <c r="J358" s="2" t="s">
        <v>8</v>
      </c>
      <c r="K358" s="2" t="s">
        <v>586</v>
      </c>
      <c r="AD358" s="33" t="str">
        <f t="shared" si="17"/>
        <v>Monday</v>
      </c>
    </row>
    <row r="359" spans="1:30" x14ac:dyDescent="0.2">
      <c r="A359" s="23">
        <v>40030</v>
      </c>
      <c r="B359" s="2" t="s">
        <v>179</v>
      </c>
      <c r="C359" t="s">
        <v>108</v>
      </c>
      <c r="D359" t="s">
        <v>207</v>
      </c>
      <c r="E359" s="2">
        <v>45747</v>
      </c>
      <c r="F359" s="2" cm="1">
        <f t="array" ref="F359">_xlfn.IFS(B359="Owner Surrender",E359,B359="Stray",E359+6,B359="Stray w/identification",E359+11,B359="Bite",E359+10,B359="Other",E359+30,B359="BAS",E359+56,B359="Seized",E359)</f>
        <v>45758</v>
      </c>
      <c r="G359" s="2">
        <v>45747</v>
      </c>
      <c r="H359" s="5">
        <f t="shared" si="15"/>
        <v>0</v>
      </c>
      <c r="I359" s="5">
        <f t="shared" si="16"/>
        <v>-11</v>
      </c>
      <c r="J359" s="2" t="s">
        <v>8</v>
      </c>
      <c r="K359" s="2" t="s">
        <v>586</v>
      </c>
      <c r="AD359" s="33" t="str">
        <f t="shared" si="17"/>
        <v>Monday</v>
      </c>
    </row>
    <row r="360" spans="1:30" x14ac:dyDescent="0.2">
      <c r="A360" s="23">
        <v>40031</v>
      </c>
      <c r="B360" s="2" t="s">
        <v>38</v>
      </c>
      <c r="C360" t="s">
        <v>53</v>
      </c>
      <c r="D360" t="s">
        <v>207</v>
      </c>
      <c r="E360" s="2">
        <v>45747</v>
      </c>
      <c r="F360" s="2" cm="1">
        <f t="array" ref="F360">_xlfn.IFS(B360="Owner Surrender",E360,B360="Stray",E360+6,B360="Stray w/identification",E360+11,B360="Bite",E360+10,B360="Other",E360+30,B360="BAS",E360+56,B360="Seized",E360)</f>
        <v>45753</v>
      </c>
      <c r="G360" s="2">
        <v>45747</v>
      </c>
      <c r="H360" s="5">
        <f t="shared" si="15"/>
        <v>0</v>
      </c>
      <c r="I360" s="5">
        <f t="shared" si="16"/>
        <v>-6</v>
      </c>
      <c r="J360" s="2" t="s">
        <v>8</v>
      </c>
      <c r="K360" s="2" t="s">
        <v>586</v>
      </c>
      <c r="AD360" s="33" t="str">
        <f t="shared" si="17"/>
        <v>Monday</v>
      </c>
    </row>
    <row r="361" spans="1:30" x14ac:dyDescent="0.2">
      <c r="A361" s="23">
        <v>40033</v>
      </c>
      <c r="B361" s="2" t="s">
        <v>38</v>
      </c>
      <c r="C361" t="s">
        <v>488</v>
      </c>
      <c r="D361" t="s">
        <v>207</v>
      </c>
      <c r="E361" s="2">
        <v>45747</v>
      </c>
      <c r="F361" s="2" cm="1">
        <f t="array" ref="F361">_xlfn.IFS(B361="Owner Surrender",E361,B361="Stray",E361+6,B361="Stray w/identification",E361+11,B361="Bite",E361+10,B361="Other",E361+30,B361="BAS",E361+56,B361="Seized",E361)</f>
        <v>45753</v>
      </c>
      <c r="G361" s="2">
        <v>45761</v>
      </c>
      <c r="H361" s="5">
        <f t="shared" si="15"/>
        <v>14</v>
      </c>
      <c r="I361" s="5">
        <f t="shared" si="16"/>
        <v>8</v>
      </c>
      <c r="J361" s="2" t="s">
        <v>11</v>
      </c>
      <c r="K361" s="2" t="s">
        <v>586</v>
      </c>
      <c r="L361" t="s">
        <v>489</v>
      </c>
      <c r="AD361" s="33" t="str">
        <f t="shared" si="17"/>
        <v>Monday</v>
      </c>
    </row>
    <row r="362" spans="1:30" x14ac:dyDescent="0.2">
      <c r="A362" s="23">
        <v>40039</v>
      </c>
      <c r="B362" s="2" t="s">
        <v>38</v>
      </c>
      <c r="C362" t="s">
        <v>49</v>
      </c>
      <c r="D362" t="s">
        <v>208</v>
      </c>
      <c r="E362" s="2">
        <v>45747</v>
      </c>
      <c r="F362" s="2" cm="1">
        <f t="array" ref="F362">_xlfn.IFS(B362="Owner Surrender",E362,B362="Stray",E362+6,B362="Stray w/identification",E362+11,B362="Bite",E362+10,B362="Other",E362+30,B362="BAS",E362+56,B362="Seized",E362)</f>
        <v>45753</v>
      </c>
      <c r="G362" s="2">
        <v>45762</v>
      </c>
      <c r="H362" s="5">
        <f t="shared" si="15"/>
        <v>15</v>
      </c>
      <c r="I362" s="5">
        <f t="shared" si="16"/>
        <v>9</v>
      </c>
      <c r="J362" s="2" t="s">
        <v>11</v>
      </c>
      <c r="K362" s="2" t="s">
        <v>586</v>
      </c>
      <c r="AD362" s="33" t="str">
        <f t="shared" si="17"/>
        <v>Tuesday</v>
      </c>
    </row>
    <row r="363" spans="1:30" x14ac:dyDescent="0.2">
      <c r="A363" s="23">
        <v>40040</v>
      </c>
      <c r="B363" s="2" t="s">
        <v>38</v>
      </c>
      <c r="C363" t="s">
        <v>49</v>
      </c>
      <c r="D363" t="s">
        <v>208</v>
      </c>
      <c r="E363" s="2">
        <v>45747</v>
      </c>
      <c r="F363" s="2" cm="1">
        <f t="array" ref="F363">_xlfn.IFS(B363="Owner Surrender",E363,B363="Stray",E363+6,B363="Stray w/identification",E363+11,B363="Bite",E363+10,B363="Other",E363+30,B363="BAS",E363+56,B363="Seized",E363)</f>
        <v>45753</v>
      </c>
      <c r="G363" s="2">
        <v>45810</v>
      </c>
      <c r="H363" s="5">
        <f t="shared" si="15"/>
        <v>63</v>
      </c>
      <c r="I363" s="5">
        <f t="shared" si="16"/>
        <v>57</v>
      </c>
      <c r="J363" s="2" t="s">
        <v>11</v>
      </c>
      <c r="K363" s="2" t="s">
        <v>586</v>
      </c>
      <c r="AD363" s="33" t="str">
        <f t="shared" si="17"/>
        <v>Monday</v>
      </c>
    </row>
    <row r="364" spans="1:30" x14ac:dyDescent="0.2">
      <c r="A364" s="23">
        <v>40045</v>
      </c>
      <c r="B364" s="2" t="s">
        <v>179</v>
      </c>
      <c r="C364" t="s">
        <v>48</v>
      </c>
      <c r="D364" t="s">
        <v>207</v>
      </c>
      <c r="E364" s="2">
        <v>45748</v>
      </c>
      <c r="F364" s="2" cm="1">
        <f t="array" ref="F364">_xlfn.IFS(B364="Owner Surrender",E364,B364="Stray",E364+6,B364="Stray w/identification",E364+11,B364="Bite",E364+10,B364="Other",E364+30,B364="BAS",E364+56,B364="Seized",E364)</f>
        <v>45759</v>
      </c>
      <c r="G364" s="2">
        <v>45761</v>
      </c>
      <c r="H364" s="5">
        <f t="shared" si="15"/>
        <v>13</v>
      </c>
      <c r="I364" s="5">
        <f t="shared" si="16"/>
        <v>2</v>
      </c>
      <c r="J364" s="2" t="s">
        <v>31</v>
      </c>
      <c r="K364" s="2" t="s">
        <v>587</v>
      </c>
      <c r="AD364" s="33" t="str">
        <f t="shared" si="17"/>
        <v>Monday</v>
      </c>
    </row>
    <row r="365" spans="1:30" x14ac:dyDescent="0.2">
      <c r="A365" s="23">
        <v>40046</v>
      </c>
      <c r="B365" s="2" t="s">
        <v>38</v>
      </c>
      <c r="C365" t="s">
        <v>524</v>
      </c>
      <c r="D365" t="s">
        <v>208</v>
      </c>
      <c r="E365" s="2">
        <v>45748</v>
      </c>
      <c r="F365" s="2" cm="1">
        <f t="array" ref="F365">_xlfn.IFS(B365="Owner Surrender",E365,B365="Stray",E365+6,B365="Stray w/identification",E365+11,B365="Bite",E365+10,B365="Other",E365+30,B365="BAS",E365+56,B365="Seized",E365)</f>
        <v>45754</v>
      </c>
      <c r="G365" s="2">
        <v>45749</v>
      </c>
      <c r="H365" s="5">
        <f t="shared" si="15"/>
        <v>1</v>
      </c>
      <c r="I365" s="5">
        <f t="shared" si="16"/>
        <v>-5</v>
      </c>
      <c r="J365" s="2" t="s">
        <v>8</v>
      </c>
      <c r="K365" s="2" t="s">
        <v>586</v>
      </c>
      <c r="AD365" s="33" t="str">
        <f t="shared" si="17"/>
        <v>Wednesday</v>
      </c>
    </row>
    <row r="366" spans="1:30" x14ac:dyDescent="0.2">
      <c r="A366" s="23">
        <v>40053</v>
      </c>
      <c r="B366" s="2" t="s">
        <v>36</v>
      </c>
      <c r="C366" t="s">
        <v>55</v>
      </c>
      <c r="D366" t="s">
        <v>208</v>
      </c>
      <c r="E366" s="2">
        <v>45748</v>
      </c>
      <c r="F366" s="2" cm="1">
        <f t="array" ref="F366">_xlfn.IFS(B366="Owner Surrender",E366,B366="Stray",E366+6,B366="Stray w/identification",E366+11,B366="Bite",E366+10,B366="Other",E366+30,B366="BAS",E366+56,B366="Seized",E366)</f>
        <v>45748</v>
      </c>
      <c r="G366" s="2">
        <v>45750</v>
      </c>
      <c r="H366" s="5">
        <f t="shared" si="15"/>
        <v>2</v>
      </c>
      <c r="I366" s="5">
        <f t="shared" si="16"/>
        <v>2</v>
      </c>
      <c r="J366" s="2" t="s">
        <v>31</v>
      </c>
      <c r="K366" s="2" t="s">
        <v>587</v>
      </c>
      <c r="AD366" s="33" t="str">
        <f t="shared" si="17"/>
        <v>Thursday</v>
      </c>
    </row>
    <row r="367" spans="1:30" x14ac:dyDescent="0.2">
      <c r="A367" s="23">
        <v>40054</v>
      </c>
      <c r="B367" s="2" t="s">
        <v>36</v>
      </c>
      <c r="C367" t="s">
        <v>49</v>
      </c>
      <c r="D367" t="s">
        <v>208</v>
      </c>
      <c r="E367" s="2">
        <v>45748</v>
      </c>
      <c r="F367" s="2" cm="1">
        <f t="array" ref="F367">_xlfn.IFS(B367="Owner Surrender",E367,B367="Stray",E367+6,B367="Stray w/identification",E367+11,B367="Bite",E367+10,B367="Other",E367+30,B367="BAS",E367+56,B367="Seized",E367)</f>
        <v>45748</v>
      </c>
      <c r="G367" s="2">
        <v>45750</v>
      </c>
      <c r="H367" s="5">
        <f t="shared" si="15"/>
        <v>2</v>
      </c>
      <c r="I367" s="5">
        <f t="shared" si="16"/>
        <v>2</v>
      </c>
      <c r="J367" s="2" t="s">
        <v>31</v>
      </c>
      <c r="K367" s="2" t="s">
        <v>587</v>
      </c>
      <c r="AD367" s="33" t="str">
        <f t="shared" si="17"/>
        <v>Thursday</v>
      </c>
    </row>
    <row r="368" spans="1:30" x14ac:dyDescent="0.2">
      <c r="A368" s="23">
        <v>40063</v>
      </c>
      <c r="B368" s="2" t="s">
        <v>179</v>
      </c>
      <c r="C368" t="s">
        <v>49</v>
      </c>
      <c r="D368" t="s">
        <v>207</v>
      </c>
      <c r="E368" s="2">
        <v>45748</v>
      </c>
      <c r="F368" s="2" cm="1">
        <f t="array" ref="F368">_xlfn.IFS(B368="Owner Surrender",E368,B368="Stray",E368+6,B368="Stray w/identification",E368+11,B368="Bite",E368+10,B368="Other",E368+30,B368="BAS",E368+56,B368="Seized",E368)</f>
        <v>45759</v>
      </c>
      <c r="G368" s="2">
        <v>45748</v>
      </c>
      <c r="H368" s="5">
        <f t="shared" si="15"/>
        <v>0</v>
      </c>
      <c r="I368" s="5">
        <f t="shared" si="16"/>
        <v>-11</v>
      </c>
      <c r="J368" s="2" t="s">
        <v>8</v>
      </c>
      <c r="K368" s="2" t="s">
        <v>586</v>
      </c>
      <c r="AD368" s="33" t="str">
        <f t="shared" si="17"/>
        <v>Tuesday</v>
      </c>
    </row>
    <row r="369" spans="1:30" x14ac:dyDescent="0.2">
      <c r="A369" s="24">
        <v>40068</v>
      </c>
      <c r="B369" s="15" t="s">
        <v>36</v>
      </c>
      <c r="C369" s="9" t="s">
        <v>55</v>
      </c>
      <c r="D369" s="9" t="s">
        <v>207</v>
      </c>
      <c r="E369" s="15">
        <v>45749</v>
      </c>
      <c r="F369" s="15" cm="1">
        <f t="array" ref="F369">_xlfn.IFS(B369="Owner Surrender",E369,B369="Stray",E369+6,B369="Stray w/identification",E369+11,B369="Bite",E369+10,B369="Other",E369+30,B369="BAS",E369+56,B369="Seized",E369)</f>
        <v>45749</v>
      </c>
      <c r="G369" s="15"/>
      <c r="H369" s="22">
        <f t="shared" si="15"/>
        <v>-45749</v>
      </c>
      <c r="I369" s="22">
        <f t="shared" si="16"/>
        <v>-45749</v>
      </c>
      <c r="J369" s="15" t="s">
        <v>21</v>
      </c>
      <c r="K369" s="2" t="s">
        <v>586</v>
      </c>
      <c r="L369" s="9" t="s">
        <v>526</v>
      </c>
      <c r="M369" s="9"/>
      <c r="AD369" s="33" t="str">
        <f t="shared" si="17"/>
        <v>Saturday</v>
      </c>
    </row>
    <row r="370" spans="1:30" x14ac:dyDescent="0.2">
      <c r="A370" s="23">
        <v>40069</v>
      </c>
      <c r="B370" s="2" t="s">
        <v>36</v>
      </c>
      <c r="C370" t="s">
        <v>55</v>
      </c>
      <c r="D370" t="s">
        <v>207</v>
      </c>
      <c r="E370" s="2">
        <v>45749</v>
      </c>
      <c r="F370" s="2" cm="1">
        <f t="array" ref="F370">_xlfn.IFS(B370="Owner Surrender",E370,B370="Stray",E370+6,B370="Stray w/identification",E370+11,B370="Bite",E370+10,B370="Other",E370+30,B370="BAS",E370+56,B370="Seized",E370)</f>
        <v>45749</v>
      </c>
      <c r="G370" s="2">
        <v>45755</v>
      </c>
      <c r="H370" s="5">
        <f t="shared" si="15"/>
        <v>6</v>
      </c>
      <c r="I370" s="5">
        <f t="shared" si="16"/>
        <v>6</v>
      </c>
      <c r="J370" s="2" t="s">
        <v>31</v>
      </c>
      <c r="K370" s="2" t="s">
        <v>587</v>
      </c>
      <c r="L370" t="s">
        <v>124</v>
      </c>
      <c r="AD370" s="33" t="str">
        <f t="shared" si="17"/>
        <v>Tuesday</v>
      </c>
    </row>
    <row r="371" spans="1:30" x14ac:dyDescent="0.2">
      <c r="A371" s="23">
        <v>40070</v>
      </c>
      <c r="B371" s="2" t="s">
        <v>38</v>
      </c>
      <c r="C371" t="s">
        <v>474</v>
      </c>
      <c r="D371" t="s">
        <v>207</v>
      </c>
      <c r="E371" s="2">
        <v>45750</v>
      </c>
      <c r="F371" s="2" cm="1">
        <f t="array" ref="F371">_xlfn.IFS(B371="Owner Surrender",E371,B371="Stray",E371+6,B371="Stray w/identification",E371+11,B371="Bite",E371+10,B371="Other",E371+30,B371="BAS",E371+56,B371="Seized",E371)</f>
        <v>45756</v>
      </c>
      <c r="G371" s="2">
        <v>45763</v>
      </c>
      <c r="H371" s="5">
        <f t="shared" si="15"/>
        <v>13</v>
      </c>
      <c r="I371" s="5">
        <f t="shared" si="16"/>
        <v>7</v>
      </c>
      <c r="J371" s="2" t="s">
        <v>8</v>
      </c>
      <c r="K371" s="2" t="s">
        <v>586</v>
      </c>
      <c r="AD371" s="33" t="str">
        <f t="shared" si="17"/>
        <v>Wednesday</v>
      </c>
    </row>
    <row r="372" spans="1:30" x14ac:dyDescent="0.2">
      <c r="A372" s="23">
        <v>40071</v>
      </c>
      <c r="B372" s="2" t="s">
        <v>38</v>
      </c>
      <c r="C372" t="s">
        <v>521</v>
      </c>
      <c r="D372" t="s">
        <v>207</v>
      </c>
      <c r="E372" s="2">
        <v>45750</v>
      </c>
      <c r="F372" s="2" cm="1">
        <f t="array" ref="F372">_xlfn.IFS(B372="Owner Surrender",E372,B372="Stray",E372+6,B372="Stray w/identification",E372+11,B372="Bite",E372+10,B372="Other",E372+30,B372="BAS",E372+56,B372="Seized",E372)</f>
        <v>45756</v>
      </c>
      <c r="G372" s="2">
        <v>45754</v>
      </c>
      <c r="H372" s="5">
        <f t="shared" si="15"/>
        <v>4</v>
      </c>
      <c r="I372" s="5">
        <f t="shared" si="16"/>
        <v>-2</v>
      </c>
      <c r="J372" s="2" t="s">
        <v>11</v>
      </c>
      <c r="K372" s="2" t="s">
        <v>586</v>
      </c>
      <c r="AD372" s="33" t="str">
        <f t="shared" si="17"/>
        <v>Monday</v>
      </c>
    </row>
    <row r="373" spans="1:30" x14ac:dyDescent="0.2">
      <c r="A373" s="23">
        <v>40073</v>
      </c>
      <c r="B373" s="2" t="s">
        <v>36</v>
      </c>
      <c r="C373" t="s">
        <v>55</v>
      </c>
      <c r="D373" t="s">
        <v>209</v>
      </c>
      <c r="E373" s="2">
        <v>45750</v>
      </c>
      <c r="F373" s="2" cm="1">
        <f t="array" ref="F373">_xlfn.IFS(B373="Owner Surrender",E373,B373="Stray",E373+6,B373="Stray w/identification",E373+11,B373="Bite",E373+10,B373="Other",E373+30,B373="BAS",E373+56,B373="Seized",E373)</f>
        <v>45750</v>
      </c>
      <c r="G373" s="2">
        <v>45790</v>
      </c>
      <c r="H373" s="5">
        <f t="shared" si="15"/>
        <v>40</v>
      </c>
      <c r="I373" s="5">
        <f t="shared" si="16"/>
        <v>40</v>
      </c>
      <c r="J373" s="2" t="s">
        <v>31</v>
      </c>
      <c r="K373" s="2" t="s">
        <v>587</v>
      </c>
      <c r="AD373" s="33" t="str">
        <f t="shared" si="17"/>
        <v>Tuesday</v>
      </c>
    </row>
    <row r="374" spans="1:30" x14ac:dyDescent="0.2">
      <c r="A374" s="23">
        <v>40074</v>
      </c>
      <c r="B374" s="2" t="s">
        <v>38</v>
      </c>
      <c r="C374" t="s">
        <v>54</v>
      </c>
      <c r="D374" t="s">
        <v>209</v>
      </c>
      <c r="E374" s="2">
        <v>45750</v>
      </c>
      <c r="F374" s="2" cm="1">
        <f t="array" ref="F374">_xlfn.IFS(B374="Owner Surrender",E374,B374="Stray",E374+6,B374="Stray w/identification",E374+11,B374="Bite",E374+10,B374="Other",E374+30,B374="BAS",E374+56,B374="Seized",E374)</f>
        <v>45756</v>
      </c>
      <c r="G374" s="2">
        <v>45778</v>
      </c>
      <c r="H374" s="5">
        <f t="shared" si="15"/>
        <v>28</v>
      </c>
      <c r="I374" s="5">
        <f t="shared" si="16"/>
        <v>22</v>
      </c>
      <c r="J374" s="2" t="s">
        <v>11</v>
      </c>
      <c r="K374" s="2" t="s">
        <v>586</v>
      </c>
      <c r="AD374" s="33" t="str">
        <f t="shared" si="17"/>
        <v>Thursday</v>
      </c>
    </row>
    <row r="375" spans="1:30" x14ac:dyDescent="0.2">
      <c r="A375" s="23">
        <v>40077</v>
      </c>
      <c r="B375" s="2" t="s">
        <v>36</v>
      </c>
      <c r="C375" t="s">
        <v>108</v>
      </c>
      <c r="D375" t="s">
        <v>208</v>
      </c>
      <c r="E375" s="2">
        <v>45751</v>
      </c>
      <c r="F375" s="2" cm="1">
        <f t="array" ref="F375">_xlfn.IFS(B375="Owner Surrender",E375,B375="Stray",E375+6,B375="Stray w/identification",E375+11,B375="Bite",E375+10,B375="Other",E375+30,B375="BAS",E375+56,B375="Seized",E375)</f>
        <v>45751</v>
      </c>
      <c r="G375" s="2">
        <v>45765</v>
      </c>
      <c r="H375" s="5">
        <f t="shared" si="15"/>
        <v>14</v>
      </c>
      <c r="I375" s="5">
        <f t="shared" si="16"/>
        <v>14</v>
      </c>
      <c r="J375" s="2" t="s">
        <v>11</v>
      </c>
      <c r="K375" s="2" t="s">
        <v>586</v>
      </c>
      <c r="AD375" s="33" t="str">
        <f t="shared" si="17"/>
        <v>Friday</v>
      </c>
    </row>
    <row r="376" spans="1:30" x14ac:dyDescent="0.2">
      <c r="A376" s="23">
        <v>40078</v>
      </c>
      <c r="B376" s="2" t="s">
        <v>36</v>
      </c>
      <c r="C376" t="s">
        <v>75</v>
      </c>
      <c r="D376" t="s">
        <v>208</v>
      </c>
      <c r="E376" s="2">
        <v>45751</v>
      </c>
      <c r="F376" s="2" cm="1">
        <f t="array" ref="F376">_xlfn.IFS(B376="Owner Surrender",E376,B376="Stray",E376+6,B376="Stray w/identification",E376+11,B376="Bite",E376+10,B376="Other",E376+30,B376="BAS",E376+56,B376="Seized",E376)</f>
        <v>45751</v>
      </c>
      <c r="G376" s="2">
        <v>45757</v>
      </c>
      <c r="H376" s="5">
        <f t="shared" si="15"/>
        <v>6</v>
      </c>
      <c r="I376" s="5">
        <f t="shared" si="16"/>
        <v>6</v>
      </c>
      <c r="J376" s="2" t="s">
        <v>18</v>
      </c>
      <c r="K376" s="2" t="s">
        <v>586</v>
      </c>
      <c r="AD376" s="33" t="str">
        <f t="shared" si="17"/>
        <v>Thursday</v>
      </c>
    </row>
    <row r="377" spans="1:30" x14ac:dyDescent="0.2">
      <c r="A377" s="23">
        <v>40080</v>
      </c>
      <c r="B377" s="2" t="s">
        <v>38</v>
      </c>
      <c r="C377" t="s">
        <v>51</v>
      </c>
      <c r="D377" t="s">
        <v>207</v>
      </c>
      <c r="E377" s="2">
        <v>45752</v>
      </c>
      <c r="F377" s="2" cm="1">
        <f t="array" ref="F377">_xlfn.IFS(B377="Owner Surrender",E377,B377="Stray",E377+6,B377="Stray w/identification",E377+11,B377="Bite",E377+10,B377="Other",E377+30,B377="BAS",E377+56,B377="Seized",E377)</f>
        <v>45758</v>
      </c>
      <c r="G377" s="2">
        <v>45761</v>
      </c>
      <c r="H377" s="5">
        <f t="shared" si="15"/>
        <v>9</v>
      </c>
      <c r="I377" s="5">
        <f t="shared" si="16"/>
        <v>3</v>
      </c>
      <c r="J377" s="2" t="s">
        <v>31</v>
      </c>
      <c r="K377" s="2" t="s">
        <v>587</v>
      </c>
      <c r="AD377" s="33" t="str">
        <f t="shared" si="17"/>
        <v>Monday</v>
      </c>
    </row>
    <row r="378" spans="1:30" x14ac:dyDescent="0.2">
      <c r="A378" s="23">
        <v>40081</v>
      </c>
      <c r="B378" s="2" t="s">
        <v>38</v>
      </c>
      <c r="C378" t="s">
        <v>49</v>
      </c>
      <c r="D378" t="s">
        <v>208</v>
      </c>
      <c r="E378" s="2">
        <v>45753</v>
      </c>
      <c r="F378" s="2" cm="1">
        <f t="array" ref="F378">_xlfn.IFS(B378="Owner Surrender",E378,B378="Stray",E378+6,B378="Stray w/identification",E378+11,B378="Bite",E378+10,B378="Other",E378+30,B378="BAS",E378+56,B378="Seized",E378)</f>
        <v>45759</v>
      </c>
      <c r="G378" s="2">
        <v>45763</v>
      </c>
      <c r="H378" s="5">
        <f t="shared" si="15"/>
        <v>10</v>
      </c>
      <c r="I378" s="5">
        <f t="shared" si="16"/>
        <v>4</v>
      </c>
      <c r="J378" s="2" t="s">
        <v>31</v>
      </c>
      <c r="K378" s="2" t="s">
        <v>587</v>
      </c>
      <c r="AD378" s="33" t="str">
        <f t="shared" si="17"/>
        <v>Wednesday</v>
      </c>
    </row>
    <row r="379" spans="1:30" x14ac:dyDescent="0.2">
      <c r="A379" s="23">
        <v>40083</v>
      </c>
      <c r="B379" s="2" t="s">
        <v>38</v>
      </c>
      <c r="C379" t="s">
        <v>49</v>
      </c>
      <c r="D379" t="s">
        <v>208</v>
      </c>
      <c r="E379" s="2">
        <v>45753</v>
      </c>
      <c r="F379" s="2" cm="1">
        <f t="array" ref="F379">_xlfn.IFS(B379="Owner Surrender",E379,B379="Stray",E379+6,B379="Stray w/identification",E379+11,B379="Bite",E379+10,B379="Other",E379+30,B379="BAS",E379+56,B379="Seized",E379)</f>
        <v>45759</v>
      </c>
      <c r="G379" s="2">
        <v>45763</v>
      </c>
      <c r="H379" s="5">
        <f t="shared" si="15"/>
        <v>10</v>
      </c>
      <c r="I379" s="5">
        <f t="shared" si="16"/>
        <v>4</v>
      </c>
      <c r="J379" s="2" t="s">
        <v>31</v>
      </c>
      <c r="K379" s="2" t="s">
        <v>587</v>
      </c>
      <c r="AD379" s="33" t="str">
        <f t="shared" si="17"/>
        <v>Wednesday</v>
      </c>
    </row>
    <row r="380" spans="1:30" x14ac:dyDescent="0.2">
      <c r="A380" s="23">
        <v>40084</v>
      </c>
      <c r="B380" s="2" t="s">
        <v>38</v>
      </c>
      <c r="C380" t="s">
        <v>507</v>
      </c>
      <c r="D380" t="s">
        <v>207</v>
      </c>
      <c r="E380" s="2">
        <v>45753</v>
      </c>
      <c r="F380" s="2" cm="1">
        <f t="array" ref="F380">_xlfn.IFS(B380="Owner Surrender",E380,B380="Stray",E380+6,B380="Stray w/identification",E380+11,B380="Bite",E380+10,B380="Other",E380+30,B380="BAS",E380+56,B380="Seized",E380)</f>
        <v>45759</v>
      </c>
      <c r="G380" s="2">
        <v>45764</v>
      </c>
      <c r="H380" s="5">
        <f t="shared" si="15"/>
        <v>11</v>
      </c>
      <c r="I380" s="5">
        <f t="shared" si="16"/>
        <v>5</v>
      </c>
      <c r="J380" s="2" t="s">
        <v>11</v>
      </c>
      <c r="K380" s="2" t="s">
        <v>586</v>
      </c>
      <c r="AD380" s="33" t="str">
        <f t="shared" si="17"/>
        <v>Thursday</v>
      </c>
    </row>
    <row r="381" spans="1:30" x14ac:dyDescent="0.2">
      <c r="A381" s="23">
        <v>40085</v>
      </c>
      <c r="B381" s="2" t="s">
        <v>38</v>
      </c>
      <c r="C381" t="s">
        <v>507</v>
      </c>
      <c r="D381" t="s">
        <v>207</v>
      </c>
      <c r="E381" s="2">
        <v>45753</v>
      </c>
      <c r="F381" s="2" cm="1">
        <f t="array" ref="F381">_xlfn.IFS(B381="Owner Surrender",E381,B381="Stray",E381+6,B381="Stray w/identification",E381+11,B381="Bite",E381+10,B381="Other",E381+30,B381="BAS",E381+56,B381="Seized",E381)</f>
        <v>45759</v>
      </c>
      <c r="G381" s="2">
        <v>45769</v>
      </c>
      <c r="H381" s="5">
        <f t="shared" si="15"/>
        <v>16</v>
      </c>
      <c r="I381" s="5">
        <f t="shared" si="16"/>
        <v>10</v>
      </c>
      <c r="J381" s="2" t="s">
        <v>11</v>
      </c>
      <c r="K381" s="2" t="s">
        <v>586</v>
      </c>
      <c r="AD381" s="33" t="str">
        <f t="shared" si="17"/>
        <v>Tuesday</v>
      </c>
    </row>
    <row r="382" spans="1:30" x14ac:dyDescent="0.2">
      <c r="A382" s="23">
        <v>40086</v>
      </c>
      <c r="B382" s="2" t="s">
        <v>38</v>
      </c>
      <c r="C382" t="s">
        <v>48</v>
      </c>
      <c r="D382" t="s">
        <v>208</v>
      </c>
      <c r="E382" s="2">
        <v>45754</v>
      </c>
      <c r="F382" s="2" cm="1">
        <f t="array" ref="F382">_xlfn.IFS(B382="Owner Surrender",E382,B382="Stray",E382+6,B382="Stray w/identification",E382+11,B382="Bite",E382+10,B382="Other",E382+30,B382="BAS",E382+56,B382="Seized",E382)</f>
        <v>45760</v>
      </c>
      <c r="G382" s="2">
        <v>45765</v>
      </c>
      <c r="H382" s="5">
        <f t="shared" si="15"/>
        <v>11</v>
      </c>
      <c r="I382" s="5">
        <f t="shared" si="16"/>
        <v>5</v>
      </c>
      <c r="J382" s="2" t="s">
        <v>11</v>
      </c>
      <c r="K382" s="2" t="s">
        <v>586</v>
      </c>
      <c r="AD382" s="33" t="str">
        <f t="shared" si="17"/>
        <v>Friday</v>
      </c>
    </row>
    <row r="383" spans="1:30" x14ac:dyDescent="0.2">
      <c r="A383" s="23">
        <v>40087</v>
      </c>
      <c r="B383" s="2" t="s">
        <v>179</v>
      </c>
      <c r="C383" t="s">
        <v>75</v>
      </c>
      <c r="D383" t="s">
        <v>207</v>
      </c>
      <c r="E383" s="2">
        <v>45754</v>
      </c>
      <c r="F383" s="2" cm="1">
        <f t="array" ref="F383">_xlfn.IFS(B383="Owner Surrender",E383,B383="Stray",E383+6,B383="Stray w/identification",E383+11,B383="Bite",E383+10,B383="Other",E383+30,B383="BAS",E383+56,B383="Seized",E383)</f>
        <v>45765</v>
      </c>
      <c r="G383" s="2">
        <v>45768</v>
      </c>
      <c r="H383" s="5">
        <f t="shared" si="15"/>
        <v>14</v>
      </c>
      <c r="I383" s="5">
        <f t="shared" si="16"/>
        <v>3</v>
      </c>
      <c r="J383" s="2" t="s">
        <v>31</v>
      </c>
      <c r="K383" s="2" t="s">
        <v>587</v>
      </c>
      <c r="AD383" s="33" t="str">
        <f t="shared" si="17"/>
        <v>Monday</v>
      </c>
    </row>
    <row r="384" spans="1:30" x14ac:dyDescent="0.2">
      <c r="A384" s="23">
        <v>40088</v>
      </c>
      <c r="B384" s="2" t="s">
        <v>36</v>
      </c>
      <c r="C384" t="s">
        <v>89</v>
      </c>
      <c r="D384" t="s">
        <v>207</v>
      </c>
      <c r="E384" s="2">
        <v>45754</v>
      </c>
      <c r="F384" s="2" cm="1">
        <f t="array" ref="F384">_xlfn.IFS(B384="Owner Surrender",E384,B384="Stray",E384+6,B384="Stray w/identification",E384+11,B384="Bite",E384+10,B384="Other",E384+30,B384="BAS",E384+56,B384="Seized",E384)</f>
        <v>45754</v>
      </c>
      <c r="G384" s="2">
        <v>45763</v>
      </c>
      <c r="H384" s="5">
        <f t="shared" si="15"/>
        <v>9</v>
      </c>
      <c r="I384" s="5">
        <f t="shared" si="16"/>
        <v>9</v>
      </c>
      <c r="J384" s="2" t="s">
        <v>31</v>
      </c>
      <c r="K384" s="2" t="s">
        <v>587</v>
      </c>
      <c r="AD384" s="33" t="str">
        <f t="shared" si="17"/>
        <v>Wednesday</v>
      </c>
    </row>
    <row r="385" spans="1:30" x14ac:dyDescent="0.2">
      <c r="A385" s="24">
        <v>40089</v>
      </c>
      <c r="B385" s="15" t="s">
        <v>36</v>
      </c>
      <c r="C385" s="9" t="s">
        <v>48</v>
      </c>
      <c r="D385" s="9" t="s">
        <v>207</v>
      </c>
      <c r="E385" s="15">
        <v>45754</v>
      </c>
      <c r="F385" s="15" cm="1">
        <f t="array" ref="F385">_xlfn.IFS(B385="Owner Surrender",E385,B385="Stray",E385+6,B385="Stray w/identification",E385+11,B385="Bite",E385+10,B385="Other",E385+30,B385="BAS",E385+56,B385="Seized",E385)</f>
        <v>45754</v>
      </c>
      <c r="G385" s="15"/>
      <c r="H385" s="22">
        <f t="shared" si="15"/>
        <v>-45754</v>
      </c>
      <c r="I385" s="22">
        <f t="shared" si="16"/>
        <v>-45754</v>
      </c>
      <c r="J385" s="15" t="s">
        <v>21</v>
      </c>
      <c r="K385" s="2" t="s">
        <v>586</v>
      </c>
      <c r="L385" s="9"/>
      <c r="M385" s="9"/>
      <c r="AD385" s="33" t="str">
        <f t="shared" si="17"/>
        <v>Saturday</v>
      </c>
    </row>
    <row r="386" spans="1:30" x14ac:dyDescent="0.2">
      <c r="A386" s="23">
        <v>40090</v>
      </c>
      <c r="B386" s="2" t="s">
        <v>60</v>
      </c>
      <c r="C386" t="s">
        <v>49</v>
      </c>
      <c r="D386" t="s">
        <v>207</v>
      </c>
      <c r="E386" s="2">
        <v>45754</v>
      </c>
      <c r="F386" s="2" cm="1">
        <f t="array" ref="F386">_xlfn.IFS(B386="Owner Surrender",E386,B386="Stray",E386+6,B386="Stray w/identification",E386+11,B386="Bite",E386+10,B386="Other",E386+30,B386="BAS",E386+56,B386="Seized",E386)</f>
        <v>45784</v>
      </c>
      <c r="G386" s="2">
        <v>45755</v>
      </c>
      <c r="H386" s="5">
        <f t="shared" si="15"/>
        <v>1</v>
      </c>
      <c r="I386" s="5">
        <f t="shared" si="16"/>
        <v>-29</v>
      </c>
      <c r="J386" s="2" t="s">
        <v>8</v>
      </c>
      <c r="K386" s="2" t="s">
        <v>586</v>
      </c>
      <c r="L386" t="s">
        <v>459</v>
      </c>
      <c r="AD386" s="33" t="str">
        <f t="shared" si="17"/>
        <v>Tuesday</v>
      </c>
    </row>
    <row r="387" spans="1:30" x14ac:dyDescent="0.2">
      <c r="A387" s="23">
        <v>40092</v>
      </c>
      <c r="B387" s="2" t="s">
        <v>38</v>
      </c>
      <c r="C387" t="s">
        <v>48</v>
      </c>
      <c r="D387" t="s">
        <v>207</v>
      </c>
      <c r="E387" s="2">
        <v>45754</v>
      </c>
      <c r="F387" s="2" cm="1">
        <f t="array" ref="F387">_xlfn.IFS(B387="Owner Surrender",E387,B387="Stray",E387+6,B387="Stray w/identification",E387+11,B387="Bite",E387+10,B387="Other",E387+30,B387="BAS",E387+56,B387="Seized",E387)</f>
        <v>45760</v>
      </c>
      <c r="G387" s="2">
        <v>45755</v>
      </c>
      <c r="H387" s="5">
        <f t="shared" ref="H387:H450" si="18">+G387-E387</f>
        <v>1</v>
      </c>
      <c r="I387" s="5">
        <f t="shared" ref="I387:I450" si="19">G387-F387</f>
        <v>-5</v>
      </c>
      <c r="J387" s="2" t="s">
        <v>8</v>
      </c>
      <c r="K387" s="2" t="s">
        <v>586</v>
      </c>
      <c r="AD387" s="33" t="str">
        <f t="shared" si="17"/>
        <v>Tuesday</v>
      </c>
    </row>
    <row r="388" spans="1:30" x14ac:dyDescent="0.2">
      <c r="A388" s="23">
        <v>40093</v>
      </c>
      <c r="B388" s="2" t="s">
        <v>38</v>
      </c>
      <c r="C388" t="s">
        <v>48</v>
      </c>
      <c r="D388" t="s">
        <v>207</v>
      </c>
      <c r="E388" s="2">
        <v>45755</v>
      </c>
      <c r="F388" s="2" cm="1">
        <f t="array" ref="F388">_xlfn.IFS(B388="Owner Surrender",E388,B388="Stray",E388+6,B388="Stray w/identification",E388+11,B388="Bite",E388+10,B388="Other",E388+30,B388="BAS",E388+56,B388="Seized",E388)</f>
        <v>45761</v>
      </c>
      <c r="G388" s="2">
        <v>45756</v>
      </c>
      <c r="H388" s="5">
        <f t="shared" si="18"/>
        <v>1</v>
      </c>
      <c r="I388" s="5">
        <f t="shared" si="19"/>
        <v>-5</v>
      </c>
      <c r="J388" s="2" t="s">
        <v>8</v>
      </c>
      <c r="K388" s="2" t="s">
        <v>586</v>
      </c>
      <c r="AD388" s="33" t="str">
        <f t="shared" ref="AD388:AD451" si="20">TEXT(G388,"DDDD")</f>
        <v>Wednesday</v>
      </c>
    </row>
    <row r="389" spans="1:30" x14ac:dyDescent="0.2">
      <c r="A389" s="23">
        <v>40094</v>
      </c>
      <c r="B389" s="2" t="s">
        <v>38</v>
      </c>
      <c r="C389" t="s">
        <v>48</v>
      </c>
      <c r="D389" t="s">
        <v>208</v>
      </c>
      <c r="E389" s="2">
        <v>45756</v>
      </c>
      <c r="F389" s="2" cm="1">
        <f t="array" ref="F389">_xlfn.IFS(B389="Owner Surrender",E389,B389="Stray",E389+6,B389="Stray w/identification",E389+11,B389="Bite",E389+10,B389="Other",E389+30,B389="BAS",E389+56,B389="Seized",E389)</f>
        <v>45762</v>
      </c>
      <c r="G389" s="2">
        <v>45797</v>
      </c>
      <c r="H389" s="5">
        <f t="shared" si="18"/>
        <v>41</v>
      </c>
      <c r="I389" s="5">
        <f t="shared" si="19"/>
        <v>35</v>
      </c>
      <c r="J389" s="2" t="s">
        <v>31</v>
      </c>
      <c r="K389" s="2" t="s">
        <v>587</v>
      </c>
      <c r="AD389" s="33" t="str">
        <f t="shared" si="20"/>
        <v>Tuesday</v>
      </c>
    </row>
    <row r="390" spans="1:30" x14ac:dyDescent="0.2">
      <c r="A390" s="23">
        <v>40096</v>
      </c>
      <c r="B390" s="2" t="s">
        <v>38</v>
      </c>
      <c r="C390" t="s">
        <v>49</v>
      </c>
      <c r="D390" t="s">
        <v>208</v>
      </c>
      <c r="E390" s="2">
        <v>45757</v>
      </c>
      <c r="F390" s="2" cm="1">
        <f t="array" ref="F390">_xlfn.IFS(B390="Owner Surrender",E390,B390="Stray",E390+6,B390="Stray w/identification",E390+11,B390="Bite",E390+10,B390="Other",E390+30,B390="BAS",E390+56,B390="Seized",E390)</f>
        <v>45763</v>
      </c>
      <c r="G390" s="2">
        <v>45768</v>
      </c>
      <c r="H390" s="5">
        <f t="shared" si="18"/>
        <v>11</v>
      </c>
      <c r="I390" s="5">
        <f t="shared" si="19"/>
        <v>5</v>
      </c>
      <c r="J390" s="2" t="s">
        <v>31</v>
      </c>
      <c r="K390" s="2" t="s">
        <v>587</v>
      </c>
      <c r="AD390" s="33" t="str">
        <f t="shared" si="20"/>
        <v>Monday</v>
      </c>
    </row>
    <row r="391" spans="1:30" x14ac:dyDescent="0.2">
      <c r="A391" s="23">
        <v>40097</v>
      </c>
      <c r="B391" s="2" t="s">
        <v>38</v>
      </c>
      <c r="C391" t="s">
        <v>49</v>
      </c>
      <c r="D391" t="s">
        <v>208</v>
      </c>
      <c r="E391" s="2">
        <v>45757</v>
      </c>
      <c r="F391" s="2" cm="1">
        <f t="array" ref="F391">_xlfn.IFS(B391="Owner Surrender",E391,B391="Stray",E391+6,B391="Stray w/identification",E391+11,B391="Bite",E391+10,B391="Other",E391+30,B391="BAS",E391+56,B391="Seized",E391)</f>
        <v>45763</v>
      </c>
      <c r="G391" s="2">
        <v>45768</v>
      </c>
      <c r="H391" s="5">
        <f t="shared" si="18"/>
        <v>11</v>
      </c>
      <c r="I391" s="5">
        <f t="shared" si="19"/>
        <v>5</v>
      </c>
      <c r="J391" s="2" t="s">
        <v>31</v>
      </c>
      <c r="K391" s="2" t="s">
        <v>587</v>
      </c>
      <c r="AD391" s="33" t="str">
        <f t="shared" si="20"/>
        <v>Monday</v>
      </c>
    </row>
    <row r="392" spans="1:30" x14ac:dyDescent="0.2">
      <c r="A392" s="23">
        <v>40099</v>
      </c>
      <c r="B392" s="2" t="s">
        <v>36</v>
      </c>
      <c r="C392" t="s">
        <v>49</v>
      </c>
      <c r="D392" t="s">
        <v>207</v>
      </c>
      <c r="E392" s="2">
        <v>45757</v>
      </c>
      <c r="F392" s="2" cm="1">
        <f t="array" ref="F392">_xlfn.IFS(B392="Owner Surrender",E392,B392="Stray",E392+6,B392="Stray w/identification",E392+11,B392="Bite",E392+10,B392="Other",E392+30,B392="BAS",E392+56,B392="Seized",E392)</f>
        <v>45757</v>
      </c>
      <c r="G392" s="2">
        <v>45761</v>
      </c>
      <c r="H392" s="5">
        <f t="shared" si="18"/>
        <v>4</v>
      </c>
      <c r="I392" s="5">
        <f t="shared" si="19"/>
        <v>4</v>
      </c>
      <c r="J392" s="2" t="s">
        <v>31</v>
      </c>
      <c r="K392" s="2" t="s">
        <v>587</v>
      </c>
      <c r="AD392" s="33" t="str">
        <f t="shared" si="20"/>
        <v>Monday</v>
      </c>
    </row>
    <row r="393" spans="1:30" x14ac:dyDescent="0.2">
      <c r="A393" s="23">
        <v>40100</v>
      </c>
      <c r="B393" s="2" t="s">
        <v>36</v>
      </c>
      <c r="C393" t="s">
        <v>420</v>
      </c>
      <c r="D393" t="s">
        <v>207</v>
      </c>
      <c r="E393" s="2">
        <v>45757</v>
      </c>
      <c r="F393" s="2" cm="1">
        <f t="array" ref="F393">_xlfn.IFS(B393="Owner Surrender",E393,B393="Stray",E393+6,B393="Stray w/identification",E393+11,B393="Bite",E393+10,B393="Other",E393+30,B393="BAS",E393+56,B393="Seized",E393)</f>
        <v>45757</v>
      </c>
      <c r="G393" s="2">
        <v>45761</v>
      </c>
      <c r="H393" s="5">
        <f t="shared" si="18"/>
        <v>4</v>
      </c>
      <c r="I393" s="5">
        <f t="shared" si="19"/>
        <v>4</v>
      </c>
      <c r="J393" s="2" t="s">
        <v>31</v>
      </c>
      <c r="K393" s="2" t="s">
        <v>587</v>
      </c>
      <c r="AD393" s="33" t="str">
        <f t="shared" si="20"/>
        <v>Monday</v>
      </c>
    </row>
    <row r="394" spans="1:30" x14ac:dyDescent="0.2">
      <c r="A394" s="23">
        <v>40102</v>
      </c>
      <c r="B394" s="2" t="s">
        <v>38</v>
      </c>
      <c r="C394" t="s">
        <v>474</v>
      </c>
      <c r="D394" t="s">
        <v>209</v>
      </c>
      <c r="E394" s="2">
        <v>45756</v>
      </c>
      <c r="F394" s="2" cm="1">
        <f t="array" ref="F394">_xlfn.IFS(B394="Owner Surrender",E394,B394="Stray",E394+6,B394="Stray w/identification",E394+11,B394="Bite",E394+10,B394="Other",E394+30,B394="BAS",E394+56,B394="Seized",E394)</f>
        <v>45762</v>
      </c>
      <c r="G394" s="2">
        <v>45776</v>
      </c>
      <c r="H394" s="5">
        <f t="shared" si="18"/>
        <v>20</v>
      </c>
      <c r="I394" s="5">
        <f t="shared" si="19"/>
        <v>14</v>
      </c>
      <c r="J394" s="2" t="s">
        <v>31</v>
      </c>
      <c r="K394" s="2" t="s">
        <v>587</v>
      </c>
      <c r="L394" t="s">
        <v>138</v>
      </c>
      <c r="AD394" s="33" t="str">
        <f t="shared" si="20"/>
        <v>Tuesday</v>
      </c>
    </row>
    <row r="395" spans="1:30" x14ac:dyDescent="0.2">
      <c r="A395" s="23">
        <v>40105</v>
      </c>
      <c r="B395" s="2" t="s">
        <v>36</v>
      </c>
      <c r="C395" t="s">
        <v>48</v>
      </c>
      <c r="D395" t="s">
        <v>207</v>
      </c>
      <c r="E395" s="2">
        <v>45758</v>
      </c>
      <c r="F395" s="2" cm="1">
        <f t="array" ref="F395">_xlfn.IFS(B395="Owner Surrender",E395,B395="Stray",E395+6,B395="Stray w/identification",E395+11,B395="Bite",E395+10,B395="Other",E395+30,B395="BAS",E395+56,B395="Seized",E395)</f>
        <v>45758</v>
      </c>
      <c r="G395" s="2">
        <v>45772</v>
      </c>
      <c r="H395" s="5">
        <f t="shared" si="18"/>
        <v>14</v>
      </c>
      <c r="I395" s="5">
        <f t="shared" si="19"/>
        <v>14</v>
      </c>
      <c r="J395" s="2" t="s">
        <v>31</v>
      </c>
      <c r="K395" s="2" t="s">
        <v>587</v>
      </c>
      <c r="L395" t="s">
        <v>331</v>
      </c>
      <c r="AD395" s="33" t="str">
        <f t="shared" si="20"/>
        <v>Friday</v>
      </c>
    </row>
    <row r="396" spans="1:30" x14ac:dyDescent="0.2">
      <c r="A396" s="23">
        <v>40106</v>
      </c>
      <c r="B396" s="2" t="s">
        <v>36</v>
      </c>
      <c r="C396" t="s">
        <v>522</v>
      </c>
      <c r="D396" t="s">
        <v>207</v>
      </c>
      <c r="E396" s="2">
        <v>45758</v>
      </c>
      <c r="F396" s="2" cm="1">
        <f t="array" ref="F396">_xlfn.IFS(B396="Owner Surrender",E396,B396="Stray",E396+6,B396="Stray w/identification",E396+11,B396="Bite",E396+10,B396="Other",E396+30,B396="BAS",E396+56,B396="Seized",E396)</f>
        <v>45758</v>
      </c>
      <c r="G396" s="2">
        <v>45797</v>
      </c>
      <c r="H396" s="5">
        <f t="shared" si="18"/>
        <v>39</v>
      </c>
      <c r="I396" s="5">
        <f t="shared" si="19"/>
        <v>39</v>
      </c>
      <c r="J396" s="2" t="s">
        <v>18</v>
      </c>
      <c r="K396" s="2" t="s">
        <v>586</v>
      </c>
      <c r="AD396" s="33" t="str">
        <f t="shared" si="20"/>
        <v>Tuesday</v>
      </c>
    </row>
    <row r="397" spans="1:30" x14ac:dyDescent="0.2">
      <c r="A397" s="23">
        <v>40107</v>
      </c>
      <c r="B397" s="2" t="s">
        <v>36</v>
      </c>
      <c r="C397" t="s">
        <v>522</v>
      </c>
      <c r="D397" t="s">
        <v>208</v>
      </c>
      <c r="E397" s="2">
        <v>45758</v>
      </c>
      <c r="F397" s="2" cm="1">
        <f t="array" ref="F397">_xlfn.IFS(B397="Owner Surrender",E397,B397="Stray",E397+6,B397="Stray w/identification",E397+11,B397="Bite",E397+10,B397="Other",E397+30,B397="BAS",E397+56,B397="Seized",E397)</f>
        <v>45758</v>
      </c>
      <c r="G397" s="2">
        <v>45775</v>
      </c>
      <c r="H397" s="5">
        <f t="shared" si="18"/>
        <v>17</v>
      </c>
      <c r="I397" s="5">
        <f t="shared" si="19"/>
        <v>17</v>
      </c>
      <c r="J397" s="2" t="s">
        <v>11</v>
      </c>
      <c r="K397" s="2" t="s">
        <v>586</v>
      </c>
      <c r="AD397" s="33" t="str">
        <f t="shared" si="20"/>
        <v>Monday</v>
      </c>
    </row>
    <row r="398" spans="1:30" x14ac:dyDescent="0.2">
      <c r="A398" s="23">
        <v>40108</v>
      </c>
      <c r="B398" s="2" t="s">
        <v>36</v>
      </c>
      <c r="C398" t="s">
        <v>522</v>
      </c>
      <c r="D398" t="s">
        <v>208</v>
      </c>
      <c r="E398" s="2">
        <v>45758</v>
      </c>
      <c r="F398" s="2" cm="1">
        <f t="array" ref="F398">_xlfn.IFS(B398="Owner Surrender",E398,B398="Stray",E398+6,B398="Stray w/identification",E398+11,B398="Bite",E398+10,B398="Other",E398+30,B398="BAS",E398+56,B398="Seized",E398)</f>
        <v>45758</v>
      </c>
      <c r="G398" s="2">
        <v>45796</v>
      </c>
      <c r="H398" s="5">
        <f t="shared" si="18"/>
        <v>38</v>
      </c>
      <c r="I398" s="5">
        <f t="shared" si="19"/>
        <v>38</v>
      </c>
      <c r="J398" s="2" t="s">
        <v>11</v>
      </c>
      <c r="K398" s="2" t="s">
        <v>586</v>
      </c>
      <c r="AD398" s="33" t="str">
        <f t="shared" si="20"/>
        <v>Monday</v>
      </c>
    </row>
    <row r="399" spans="1:30" x14ac:dyDescent="0.2">
      <c r="A399" s="23">
        <v>40109</v>
      </c>
      <c r="B399" s="2" t="s">
        <v>36</v>
      </c>
      <c r="C399" t="s">
        <v>522</v>
      </c>
      <c r="D399" t="s">
        <v>208</v>
      </c>
      <c r="E399" s="2">
        <v>45758</v>
      </c>
      <c r="F399" s="2" cm="1">
        <f t="array" ref="F399">_xlfn.IFS(B399="Owner Surrender",E399,B399="Stray",E399+6,B399="Stray w/identification",E399+11,B399="Bite",E399+10,B399="Other",E399+30,B399="BAS",E399+56,B399="Seized",E399)</f>
        <v>45758</v>
      </c>
      <c r="G399" s="2">
        <v>45834</v>
      </c>
      <c r="H399" s="5">
        <f t="shared" si="18"/>
        <v>76</v>
      </c>
      <c r="I399" s="5">
        <f t="shared" si="19"/>
        <v>76</v>
      </c>
      <c r="J399" s="2" t="s">
        <v>11</v>
      </c>
      <c r="K399" s="2" t="s">
        <v>586</v>
      </c>
      <c r="AD399" s="33" t="str">
        <f t="shared" si="20"/>
        <v>Thursday</v>
      </c>
    </row>
    <row r="400" spans="1:30" x14ac:dyDescent="0.2">
      <c r="A400" s="23">
        <v>40114</v>
      </c>
      <c r="B400" s="2" t="s">
        <v>38</v>
      </c>
      <c r="C400" t="s">
        <v>420</v>
      </c>
      <c r="D400" t="s">
        <v>207</v>
      </c>
      <c r="E400" s="2">
        <v>45759</v>
      </c>
      <c r="F400" s="2" cm="1">
        <f t="array" ref="F400">_xlfn.IFS(B400="Owner Surrender",E400,B400="Stray",E400+6,B400="Stray w/identification",E400+11,B400="Bite",E400+10,B400="Other",E400+30,B400="BAS",E400+56,B400="Seized",E400)</f>
        <v>45765</v>
      </c>
      <c r="G400" s="2">
        <v>45766</v>
      </c>
      <c r="H400" s="5">
        <f t="shared" si="18"/>
        <v>7</v>
      </c>
      <c r="I400" s="5">
        <f t="shared" si="19"/>
        <v>1</v>
      </c>
      <c r="J400" s="2" t="s">
        <v>11</v>
      </c>
      <c r="K400" s="2" t="s">
        <v>586</v>
      </c>
      <c r="AD400" s="33" t="str">
        <f t="shared" si="20"/>
        <v>Saturday</v>
      </c>
    </row>
    <row r="401" spans="1:30" x14ac:dyDescent="0.2">
      <c r="A401" s="23">
        <v>40115</v>
      </c>
      <c r="B401" s="2" t="s">
        <v>36</v>
      </c>
      <c r="C401" t="s">
        <v>49</v>
      </c>
      <c r="D401" t="s">
        <v>208</v>
      </c>
      <c r="E401" s="2">
        <v>45759</v>
      </c>
      <c r="F401" s="2" cm="1">
        <f t="array" ref="F401">_xlfn.IFS(B401="Owner Surrender",E401,B401="Stray",E401+6,B401="Stray w/identification",E401+11,B401="Bite",E401+10,B401="Other",E401+30,B401="BAS",E401+56,B401="Seized",E401)</f>
        <v>45759</v>
      </c>
      <c r="G401" s="2">
        <v>45772</v>
      </c>
      <c r="H401" s="5">
        <f t="shared" si="18"/>
        <v>13</v>
      </c>
      <c r="I401" s="5">
        <f t="shared" si="19"/>
        <v>13</v>
      </c>
      <c r="J401" s="2" t="s">
        <v>31</v>
      </c>
      <c r="K401" s="2" t="s">
        <v>587</v>
      </c>
      <c r="AD401" s="33" t="str">
        <f t="shared" si="20"/>
        <v>Friday</v>
      </c>
    </row>
    <row r="402" spans="1:30" x14ac:dyDescent="0.2">
      <c r="A402" s="23">
        <v>40116</v>
      </c>
      <c r="B402" s="2" t="s">
        <v>36</v>
      </c>
      <c r="C402" t="s">
        <v>48</v>
      </c>
      <c r="D402" t="s">
        <v>209</v>
      </c>
      <c r="E402" s="2">
        <v>45759</v>
      </c>
      <c r="F402" s="2" cm="1">
        <f t="array" ref="F402">_xlfn.IFS(B402="Owner Surrender",E402,B402="Stray",E402+6,B402="Stray w/identification",E402+11,B402="Bite",E402+10,B402="Other",E402+30,B402="BAS",E402+56,B402="Seized",E402)</f>
        <v>45759</v>
      </c>
      <c r="G402" s="2">
        <v>45763</v>
      </c>
      <c r="H402" s="5">
        <f t="shared" si="18"/>
        <v>4</v>
      </c>
      <c r="I402" s="5">
        <f t="shared" si="19"/>
        <v>4</v>
      </c>
      <c r="J402" s="2" t="s">
        <v>31</v>
      </c>
      <c r="K402" s="2" t="s">
        <v>587</v>
      </c>
      <c r="AD402" s="33" t="str">
        <f t="shared" si="20"/>
        <v>Wednesday</v>
      </c>
    </row>
    <row r="403" spans="1:30" x14ac:dyDescent="0.2">
      <c r="A403" s="23">
        <v>40117</v>
      </c>
      <c r="B403" s="2" t="s">
        <v>38</v>
      </c>
      <c r="C403" t="s">
        <v>235</v>
      </c>
      <c r="D403" t="s">
        <v>208</v>
      </c>
      <c r="E403" s="2">
        <v>45759</v>
      </c>
      <c r="F403" s="2" cm="1">
        <f t="array" ref="F403">_xlfn.IFS(B403="Owner Surrender",E403,B403="Stray",E403+6,B403="Stray w/identification",E403+11,B403="Bite",E403+10,B403="Other",E403+30,B403="BAS",E403+56,B403="Seized",E403)</f>
        <v>45765</v>
      </c>
      <c r="G403" s="2">
        <v>45773</v>
      </c>
      <c r="H403" s="5">
        <f t="shared" si="18"/>
        <v>14</v>
      </c>
      <c r="I403" s="5">
        <f t="shared" si="19"/>
        <v>8</v>
      </c>
      <c r="J403" s="2" t="s">
        <v>11</v>
      </c>
      <c r="K403" s="2" t="s">
        <v>586</v>
      </c>
      <c r="AD403" s="33" t="str">
        <f t="shared" si="20"/>
        <v>Saturday</v>
      </c>
    </row>
    <row r="404" spans="1:30" x14ac:dyDescent="0.2">
      <c r="A404" s="23">
        <v>40118</v>
      </c>
      <c r="B404" s="2" t="s">
        <v>38</v>
      </c>
      <c r="C404" t="s">
        <v>235</v>
      </c>
      <c r="D404" t="s">
        <v>208</v>
      </c>
      <c r="E404" s="2">
        <v>45759</v>
      </c>
      <c r="F404" s="2" cm="1">
        <f t="array" ref="F404">_xlfn.IFS(B404="Owner Surrender",E404,B404="Stray",E404+6,B404="Stray w/identification",E404+11,B404="Bite",E404+10,B404="Other",E404+30,B404="BAS",E404+56,B404="Seized",E404)</f>
        <v>45765</v>
      </c>
      <c r="G404" s="2">
        <v>45769</v>
      </c>
      <c r="H404" s="5">
        <f t="shared" si="18"/>
        <v>10</v>
      </c>
      <c r="I404" s="5">
        <f t="shared" si="19"/>
        <v>4</v>
      </c>
      <c r="J404" s="2" t="s">
        <v>11</v>
      </c>
      <c r="K404" s="2" t="s">
        <v>586</v>
      </c>
      <c r="AD404" s="33" t="str">
        <f t="shared" si="20"/>
        <v>Tuesday</v>
      </c>
    </row>
    <row r="405" spans="1:30" x14ac:dyDescent="0.2">
      <c r="A405" s="23">
        <v>40133</v>
      </c>
      <c r="B405" s="2" t="s">
        <v>43</v>
      </c>
      <c r="C405" t="s">
        <v>49</v>
      </c>
      <c r="D405" t="s">
        <v>208</v>
      </c>
      <c r="E405" s="2">
        <v>45759</v>
      </c>
      <c r="F405" s="2" cm="1">
        <f t="array" ref="F405">_xlfn.IFS(B405="Owner Surrender",E405,B405="Stray",E405+6,B405="Stray w/identification",E405+11,B405="Bite",E405+10,B405="Other",E405+30,B405="BAS",E405+56,B405="Seized",E405)</f>
        <v>45815</v>
      </c>
      <c r="G405" s="2">
        <v>45774</v>
      </c>
      <c r="H405" s="5">
        <f t="shared" si="18"/>
        <v>15</v>
      </c>
      <c r="I405" s="5">
        <f t="shared" si="19"/>
        <v>-41</v>
      </c>
      <c r="J405" s="2" t="s">
        <v>31</v>
      </c>
      <c r="K405" s="2" t="s">
        <v>587</v>
      </c>
      <c r="AD405" s="33" t="str">
        <f t="shared" si="20"/>
        <v>Sunday</v>
      </c>
    </row>
    <row r="406" spans="1:30" x14ac:dyDescent="0.2">
      <c r="A406" s="23">
        <v>40134</v>
      </c>
      <c r="B406" s="2" t="s">
        <v>43</v>
      </c>
      <c r="C406" t="s">
        <v>49</v>
      </c>
      <c r="D406" t="s">
        <v>208</v>
      </c>
      <c r="E406" s="2">
        <v>45759</v>
      </c>
      <c r="F406" s="2" cm="1">
        <f t="array" ref="F406">_xlfn.IFS(B406="Owner Surrender",E406,B406="Stray",E406+6,B406="Stray w/identification",E406+11,B406="Bite",E406+10,B406="Other",E406+30,B406="BAS",E406+56,B406="Seized",E406)</f>
        <v>45815</v>
      </c>
      <c r="G406" s="2">
        <v>45776</v>
      </c>
      <c r="H406" s="5">
        <f t="shared" si="18"/>
        <v>17</v>
      </c>
      <c r="I406" s="5">
        <f t="shared" si="19"/>
        <v>-39</v>
      </c>
      <c r="J406" s="2" t="s">
        <v>31</v>
      </c>
      <c r="K406" s="2" t="s">
        <v>587</v>
      </c>
      <c r="AD406" s="33" t="str">
        <f t="shared" si="20"/>
        <v>Tuesday</v>
      </c>
    </row>
    <row r="407" spans="1:30" x14ac:dyDescent="0.2">
      <c r="A407" s="23">
        <v>40135</v>
      </c>
      <c r="B407" s="2" t="s">
        <v>43</v>
      </c>
      <c r="C407" t="s">
        <v>49</v>
      </c>
      <c r="D407" t="s">
        <v>208</v>
      </c>
      <c r="E407" s="2">
        <v>45759</v>
      </c>
      <c r="F407" s="2" cm="1">
        <f t="array" ref="F407">_xlfn.IFS(B407="Owner Surrender",E407,B407="Stray",E407+6,B407="Stray w/identification",E407+11,B407="Bite",E407+10,B407="Other",E407+30,B407="BAS",E407+56,B407="Seized",E407)</f>
        <v>45815</v>
      </c>
      <c r="G407" s="2">
        <v>45776</v>
      </c>
      <c r="H407" s="5">
        <f t="shared" si="18"/>
        <v>17</v>
      </c>
      <c r="I407" s="5">
        <f t="shared" si="19"/>
        <v>-39</v>
      </c>
      <c r="J407" s="2" t="s">
        <v>31</v>
      </c>
      <c r="K407" s="2" t="s">
        <v>587</v>
      </c>
      <c r="AD407" s="33" t="str">
        <f t="shared" si="20"/>
        <v>Tuesday</v>
      </c>
    </row>
    <row r="408" spans="1:30" x14ac:dyDescent="0.2">
      <c r="A408" s="23">
        <v>40136</v>
      </c>
      <c r="B408" s="2" t="s">
        <v>43</v>
      </c>
      <c r="C408" t="s">
        <v>49</v>
      </c>
      <c r="D408" t="s">
        <v>208</v>
      </c>
      <c r="E408" s="2">
        <v>45759</v>
      </c>
      <c r="F408" s="2" cm="1">
        <f t="array" ref="F408">_xlfn.IFS(B408="Owner Surrender",E408,B408="Stray",E408+6,B408="Stray w/identification",E408+11,B408="Bite",E408+10,B408="Other",E408+30,B408="BAS",E408+56,B408="Seized",E408)</f>
        <v>45815</v>
      </c>
      <c r="G408" s="2">
        <v>45776</v>
      </c>
      <c r="H408" s="5">
        <f t="shared" si="18"/>
        <v>17</v>
      </c>
      <c r="I408" s="5">
        <f t="shared" si="19"/>
        <v>-39</v>
      </c>
      <c r="J408" s="2" t="s">
        <v>31</v>
      </c>
      <c r="K408" s="2" t="s">
        <v>587</v>
      </c>
      <c r="AD408" s="33" t="str">
        <f t="shared" si="20"/>
        <v>Tuesday</v>
      </c>
    </row>
    <row r="409" spans="1:30" x14ac:dyDescent="0.2">
      <c r="A409" s="23">
        <v>40137</v>
      </c>
      <c r="B409" s="2" t="s">
        <v>43</v>
      </c>
      <c r="C409" t="s">
        <v>49</v>
      </c>
      <c r="D409" t="s">
        <v>208</v>
      </c>
      <c r="E409" s="2">
        <v>45759</v>
      </c>
      <c r="F409" s="2" cm="1">
        <f t="array" ref="F409">_xlfn.IFS(B409="Owner Surrender",E409,B409="Stray",E409+6,B409="Stray w/identification",E409+11,B409="Bite",E409+10,B409="Other",E409+30,B409="BAS",E409+56,B409="Seized",E409)</f>
        <v>45815</v>
      </c>
      <c r="G409" s="2">
        <v>45776</v>
      </c>
      <c r="H409" s="5">
        <f t="shared" si="18"/>
        <v>17</v>
      </c>
      <c r="I409" s="5">
        <f t="shared" si="19"/>
        <v>-39</v>
      </c>
      <c r="J409" s="2" t="s">
        <v>31</v>
      </c>
      <c r="K409" s="2" t="s">
        <v>587</v>
      </c>
      <c r="AD409" s="33" t="str">
        <f t="shared" si="20"/>
        <v>Tuesday</v>
      </c>
    </row>
    <row r="410" spans="1:30" x14ac:dyDescent="0.2">
      <c r="A410" s="23">
        <v>40138</v>
      </c>
      <c r="B410" s="2" t="s">
        <v>43</v>
      </c>
      <c r="C410" t="s">
        <v>49</v>
      </c>
      <c r="D410" t="s">
        <v>208</v>
      </c>
      <c r="E410" s="2">
        <v>45759</v>
      </c>
      <c r="F410" s="2" cm="1">
        <f t="array" ref="F410">_xlfn.IFS(B410="Owner Surrender",E410,B410="Stray",E410+6,B410="Stray w/identification",E410+11,B410="Bite",E410+10,B410="Other",E410+30,B410="BAS",E410+56,B410="Seized",E410)</f>
        <v>45815</v>
      </c>
      <c r="G410" s="2">
        <v>45820</v>
      </c>
      <c r="H410" s="5">
        <f t="shared" si="18"/>
        <v>61</v>
      </c>
      <c r="I410" s="5">
        <f t="shared" si="19"/>
        <v>5</v>
      </c>
      <c r="J410" s="2" t="s">
        <v>18</v>
      </c>
      <c r="K410" s="2" t="s">
        <v>586</v>
      </c>
      <c r="AD410" s="33" t="str">
        <f t="shared" si="20"/>
        <v>Thursday</v>
      </c>
    </row>
    <row r="411" spans="1:30" x14ac:dyDescent="0.2">
      <c r="A411" s="23">
        <v>40139</v>
      </c>
      <c r="B411" s="2" t="s">
        <v>43</v>
      </c>
      <c r="C411" t="s">
        <v>49</v>
      </c>
      <c r="D411" t="s">
        <v>208</v>
      </c>
      <c r="E411" s="2">
        <v>45759</v>
      </c>
      <c r="F411" s="2" cm="1">
        <f t="array" ref="F411">_xlfn.IFS(B411="Owner Surrender",E411,B411="Stray",E411+6,B411="Stray w/identification",E411+11,B411="Bite",E411+10,B411="Other",E411+30,B411="BAS",E411+56,B411="Seized",E411)</f>
        <v>45815</v>
      </c>
      <c r="G411" s="2">
        <v>45820</v>
      </c>
      <c r="H411" s="5">
        <f t="shared" si="18"/>
        <v>61</v>
      </c>
      <c r="I411" s="5">
        <f t="shared" si="19"/>
        <v>5</v>
      </c>
      <c r="J411" s="2" t="s">
        <v>18</v>
      </c>
      <c r="K411" s="2" t="s">
        <v>586</v>
      </c>
      <c r="AD411" s="33" t="str">
        <f t="shared" si="20"/>
        <v>Thursday</v>
      </c>
    </row>
    <row r="412" spans="1:30" x14ac:dyDescent="0.2">
      <c r="A412" s="23">
        <v>40140</v>
      </c>
      <c r="B412" s="2" t="s">
        <v>43</v>
      </c>
      <c r="C412" t="s">
        <v>49</v>
      </c>
      <c r="D412" t="s">
        <v>208</v>
      </c>
      <c r="E412" s="2">
        <v>45759</v>
      </c>
      <c r="F412" s="2" cm="1">
        <f t="array" ref="F412">_xlfn.IFS(B412="Owner Surrender",E412,B412="Stray",E412+6,B412="Stray w/identification",E412+11,B412="Bite",E412+10,B412="Other",E412+30,B412="BAS",E412+56,B412="Seized",E412)</f>
        <v>45815</v>
      </c>
      <c r="G412" s="2">
        <v>45825</v>
      </c>
      <c r="H412" s="5">
        <f t="shared" si="18"/>
        <v>66</v>
      </c>
      <c r="I412" s="5">
        <f t="shared" si="19"/>
        <v>10</v>
      </c>
      <c r="J412" s="2" t="s">
        <v>11</v>
      </c>
      <c r="K412" s="2" t="s">
        <v>586</v>
      </c>
      <c r="AD412" s="33" t="str">
        <f t="shared" si="20"/>
        <v>Tuesday</v>
      </c>
    </row>
    <row r="413" spans="1:30" x14ac:dyDescent="0.2">
      <c r="A413" s="23">
        <v>40141</v>
      </c>
      <c r="B413" s="2" t="s">
        <v>43</v>
      </c>
      <c r="C413" t="s">
        <v>49</v>
      </c>
      <c r="D413" t="s">
        <v>208</v>
      </c>
      <c r="E413" s="2">
        <v>45759</v>
      </c>
      <c r="F413" s="2" cm="1">
        <f t="array" ref="F413">_xlfn.IFS(B413="Owner Surrender",E413,B413="Stray",E413+6,B413="Stray w/identification",E413+11,B413="Bite",E413+10,B413="Other",E413+30,B413="BAS",E413+56,B413="Seized",E413)</f>
        <v>45815</v>
      </c>
      <c r="G413" s="2">
        <v>45850</v>
      </c>
      <c r="H413" s="5">
        <f t="shared" si="18"/>
        <v>91</v>
      </c>
      <c r="I413" s="5">
        <f t="shared" si="19"/>
        <v>35</v>
      </c>
      <c r="J413" s="2" t="s">
        <v>18</v>
      </c>
      <c r="K413" s="2" t="s">
        <v>586</v>
      </c>
      <c r="M413" t="s">
        <v>86</v>
      </c>
      <c r="AD413" s="33" t="str">
        <f t="shared" si="20"/>
        <v>Saturday</v>
      </c>
    </row>
    <row r="414" spans="1:30" x14ac:dyDescent="0.2">
      <c r="A414" s="23">
        <v>40142</v>
      </c>
      <c r="B414" s="2" t="s">
        <v>43</v>
      </c>
      <c r="C414" t="s">
        <v>49</v>
      </c>
      <c r="D414" t="s">
        <v>208</v>
      </c>
      <c r="E414" s="2">
        <v>45759</v>
      </c>
      <c r="F414" s="2" cm="1">
        <f t="array" ref="F414">_xlfn.IFS(B414="Owner Surrender",E414,B414="Stray",E414+6,B414="Stray w/identification",E414+11,B414="Bite",E414+10,B414="Other",E414+30,B414="BAS",E414+56,B414="Seized",E414)</f>
        <v>45815</v>
      </c>
      <c r="G414" s="2">
        <v>45820</v>
      </c>
      <c r="H414" s="5">
        <f t="shared" si="18"/>
        <v>61</v>
      </c>
      <c r="I414" s="5">
        <f t="shared" si="19"/>
        <v>5</v>
      </c>
      <c r="J414" s="2" t="s">
        <v>18</v>
      </c>
      <c r="K414" s="2" t="s">
        <v>586</v>
      </c>
      <c r="AD414" s="33" t="str">
        <f t="shared" si="20"/>
        <v>Thursday</v>
      </c>
    </row>
    <row r="415" spans="1:30" x14ac:dyDescent="0.2">
      <c r="A415" s="23">
        <v>40143</v>
      </c>
      <c r="B415" s="2" t="s">
        <v>43</v>
      </c>
      <c r="C415" t="s">
        <v>49</v>
      </c>
      <c r="D415" t="s">
        <v>208</v>
      </c>
      <c r="E415" s="2">
        <v>45759</v>
      </c>
      <c r="F415" s="2" cm="1">
        <f t="array" ref="F415">_xlfn.IFS(B415="Owner Surrender",E415,B415="Stray",E415+6,B415="Stray w/identification",E415+11,B415="Bite",E415+10,B415="Other",E415+30,B415="BAS",E415+56,B415="Seized",E415)</f>
        <v>45815</v>
      </c>
      <c r="G415" s="2">
        <v>45771</v>
      </c>
      <c r="H415" s="5">
        <f t="shared" si="18"/>
        <v>12</v>
      </c>
      <c r="I415" s="5">
        <f t="shared" si="19"/>
        <v>-44</v>
      </c>
      <c r="J415" s="2" t="s">
        <v>28</v>
      </c>
      <c r="K415" s="2" t="s">
        <v>586</v>
      </c>
      <c r="AD415" s="33" t="str">
        <f t="shared" si="20"/>
        <v>Thursday</v>
      </c>
    </row>
    <row r="416" spans="1:30" x14ac:dyDescent="0.2">
      <c r="A416" s="23">
        <v>40146</v>
      </c>
      <c r="B416" s="2" t="s">
        <v>60</v>
      </c>
      <c r="C416" t="s">
        <v>78</v>
      </c>
      <c r="D416" t="s">
        <v>207</v>
      </c>
      <c r="E416" s="2">
        <v>45762</v>
      </c>
      <c r="F416" s="2" cm="1">
        <f t="array" ref="F416">_xlfn.IFS(B416="Owner Surrender",E416,B416="Stray",E416+6,B416="Stray w/identification",E416+11,B416="Bite",E416+10,B416="Other",E416+30,B416="BAS",E416+56,B416="Seized",E416)</f>
        <v>45792</v>
      </c>
      <c r="G416" s="2">
        <v>45807</v>
      </c>
      <c r="H416" s="5">
        <f t="shared" si="18"/>
        <v>45</v>
      </c>
      <c r="I416" s="5">
        <f t="shared" si="19"/>
        <v>15</v>
      </c>
      <c r="J416" s="2" t="s">
        <v>31</v>
      </c>
      <c r="K416" s="2" t="s">
        <v>587</v>
      </c>
      <c r="AD416" s="33" t="str">
        <f t="shared" si="20"/>
        <v>Friday</v>
      </c>
    </row>
    <row r="417" spans="1:30" x14ac:dyDescent="0.2">
      <c r="A417" s="23">
        <v>40147</v>
      </c>
      <c r="B417" s="2" t="s">
        <v>36</v>
      </c>
      <c r="C417" t="s">
        <v>49</v>
      </c>
      <c r="D417" t="s">
        <v>207</v>
      </c>
      <c r="E417" s="2">
        <v>45762</v>
      </c>
      <c r="F417" s="2" cm="1">
        <f t="array" ref="F417">_xlfn.IFS(B417="Owner Surrender",E417,B417="Stray",E417+6,B417="Stray w/identification",E417+11,B417="Bite",E417+10,B417="Other",E417+30,B417="BAS",E417+56,B417="Seized",E417)</f>
        <v>45762</v>
      </c>
      <c r="G417" s="2">
        <v>45772</v>
      </c>
      <c r="H417" s="5">
        <f t="shared" si="18"/>
        <v>10</v>
      </c>
      <c r="I417" s="5">
        <f t="shared" si="19"/>
        <v>10</v>
      </c>
      <c r="J417" s="2" t="s">
        <v>31</v>
      </c>
      <c r="K417" s="2" t="s">
        <v>587</v>
      </c>
      <c r="AD417" s="33" t="str">
        <f t="shared" si="20"/>
        <v>Friday</v>
      </c>
    </row>
    <row r="418" spans="1:30" x14ac:dyDescent="0.2">
      <c r="A418" s="23">
        <v>40148</v>
      </c>
      <c r="B418" s="2" t="s">
        <v>36</v>
      </c>
      <c r="C418" t="s">
        <v>48</v>
      </c>
      <c r="D418" t="s">
        <v>207</v>
      </c>
      <c r="E418" s="2">
        <v>45762</v>
      </c>
      <c r="F418" s="2" cm="1">
        <f t="array" ref="F418">_xlfn.IFS(B418="Owner Surrender",E418,B418="Stray",E418+6,B418="Stray w/identification",E418+11,B418="Bite",E418+10,B418="Other",E418+30,B418="BAS",E418+56,B418="Seized",E418)</f>
        <v>45762</v>
      </c>
      <c r="G418" s="2">
        <v>45768</v>
      </c>
      <c r="H418" s="5">
        <f t="shared" si="18"/>
        <v>6</v>
      </c>
      <c r="I418" s="5">
        <f t="shared" si="19"/>
        <v>6</v>
      </c>
      <c r="J418" s="2" t="s">
        <v>31</v>
      </c>
      <c r="K418" s="2" t="s">
        <v>587</v>
      </c>
      <c r="L418" t="s">
        <v>533</v>
      </c>
      <c r="AD418" s="33" t="str">
        <f t="shared" si="20"/>
        <v>Monday</v>
      </c>
    </row>
    <row r="419" spans="1:30" x14ac:dyDescent="0.2">
      <c r="A419" s="23">
        <v>40149</v>
      </c>
      <c r="B419" s="2" t="s">
        <v>179</v>
      </c>
      <c r="C419" t="s">
        <v>479</v>
      </c>
      <c r="D419" t="s">
        <v>207</v>
      </c>
      <c r="E419" s="2">
        <v>45761</v>
      </c>
      <c r="F419" s="2" cm="1">
        <f t="array" ref="F419">_xlfn.IFS(B419="Owner Surrender",E419,B419="Stray",E419+6,B419="Stray w/identification",E419+11,B419="Bite",E419+10,B419="Other",E419+30,B419="BAS",E419+56,B419="Seized",E419)</f>
        <v>45772</v>
      </c>
      <c r="G419" s="2">
        <v>45790</v>
      </c>
      <c r="H419" s="5">
        <f t="shared" si="18"/>
        <v>29</v>
      </c>
      <c r="I419" s="5">
        <f t="shared" si="19"/>
        <v>18</v>
      </c>
      <c r="J419" s="2" t="s">
        <v>31</v>
      </c>
      <c r="K419" s="2" t="s">
        <v>587</v>
      </c>
      <c r="AD419" s="33" t="str">
        <f t="shared" si="20"/>
        <v>Tuesday</v>
      </c>
    </row>
    <row r="420" spans="1:30" x14ac:dyDescent="0.2">
      <c r="A420" s="23">
        <v>40150</v>
      </c>
      <c r="B420" s="2" t="s">
        <v>179</v>
      </c>
      <c r="C420" t="s">
        <v>49</v>
      </c>
      <c r="D420" t="s">
        <v>207</v>
      </c>
      <c r="E420" s="2">
        <v>45762</v>
      </c>
      <c r="F420" s="2" cm="1">
        <f t="array" ref="F420">_xlfn.IFS(B420="Owner Surrender",E420,B420="Stray",E420+6,B420="Stray w/identification",E420+11,B420="Bite",E420+10,B420="Other",E420+30,B420="BAS",E420+56,B420="Seized",E420)</f>
        <v>45773</v>
      </c>
      <c r="G420" s="2">
        <v>45790</v>
      </c>
      <c r="H420" s="5">
        <f t="shared" si="18"/>
        <v>28</v>
      </c>
      <c r="I420" s="5">
        <f t="shared" si="19"/>
        <v>17</v>
      </c>
      <c r="J420" s="2" t="s">
        <v>31</v>
      </c>
      <c r="K420" s="2" t="s">
        <v>587</v>
      </c>
      <c r="AD420" s="33" t="str">
        <f t="shared" si="20"/>
        <v>Tuesday</v>
      </c>
    </row>
    <row r="421" spans="1:30" x14ac:dyDescent="0.2">
      <c r="A421" s="23">
        <v>40151</v>
      </c>
      <c r="B421" s="2" t="s">
        <v>38</v>
      </c>
      <c r="C421" t="s">
        <v>49</v>
      </c>
      <c r="D421" t="s">
        <v>207</v>
      </c>
      <c r="E421" s="2">
        <v>45763</v>
      </c>
      <c r="F421" s="2" cm="1">
        <f t="array" ref="F421">_xlfn.IFS(B421="Owner Surrender",E421,B421="Stray",E421+6,B421="Stray w/identification",E421+11,B421="Bite",E421+10,B421="Other",E421+30,B421="BAS",E421+56,B421="Seized",E421)</f>
        <v>45769</v>
      </c>
      <c r="G421" s="2">
        <v>45772</v>
      </c>
      <c r="H421" s="5">
        <f t="shared" si="18"/>
        <v>9</v>
      </c>
      <c r="I421" s="5">
        <f t="shared" si="19"/>
        <v>3</v>
      </c>
      <c r="J421" s="2" t="s">
        <v>31</v>
      </c>
      <c r="K421" s="2" t="s">
        <v>587</v>
      </c>
      <c r="AD421" s="33" t="str">
        <f t="shared" si="20"/>
        <v>Friday</v>
      </c>
    </row>
    <row r="422" spans="1:30" x14ac:dyDescent="0.2">
      <c r="A422" s="23">
        <v>40153</v>
      </c>
      <c r="B422" s="2" t="s">
        <v>36</v>
      </c>
      <c r="C422" t="s">
        <v>49</v>
      </c>
      <c r="D422" t="s">
        <v>208</v>
      </c>
      <c r="E422" s="2">
        <v>45764</v>
      </c>
      <c r="F422" s="2" cm="1">
        <f t="array" ref="F422">_xlfn.IFS(B422="Owner Surrender",E422,B422="Stray",E422+6,B422="Stray w/identification",E422+11,B422="Bite",E422+10,B422="Other",E422+30,B422="BAS",E422+56,B422="Seized",E422)</f>
        <v>45764</v>
      </c>
      <c r="G422" s="2">
        <v>45764</v>
      </c>
      <c r="H422" s="5">
        <f t="shared" si="18"/>
        <v>0</v>
      </c>
      <c r="I422" s="5">
        <f t="shared" si="19"/>
        <v>0</v>
      </c>
      <c r="J422" s="2" t="s">
        <v>31</v>
      </c>
      <c r="K422" s="2" t="s">
        <v>588</v>
      </c>
      <c r="M422" t="s">
        <v>123</v>
      </c>
      <c r="AD422" s="33" t="str">
        <f t="shared" si="20"/>
        <v>Thursday</v>
      </c>
    </row>
    <row r="423" spans="1:30" x14ac:dyDescent="0.2">
      <c r="A423" s="23">
        <v>40154</v>
      </c>
      <c r="B423" s="2" t="s">
        <v>38</v>
      </c>
      <c r="C423" t="s">
        <v>420</v>
      </c>
      <c r="D423" t="s">
        <v>207</v>
      </c>
      <c r="E423" s="2">
        <v>45765</v>
      </c>
      <c r="F423" s="2" cm="1">
        <f t="array" ref="F423">_xlfn.IFS(B423="Owner Surrender",E423,B423="Stray",E423+6,B423="Stray w/identification",E423+11,B423="Bite",E423+10,B423="Other",E423+30,B423="BAS",E423+56,B423="Seized",E423)</f>
        <v>45771</v>
      </c>
      <c r="G423" s="2">
        <v>45765</v>
      </c>
      <c r="H423" s="5">
        <f t="shared" si="18"/>
        <v>0</v>
      </c>
      <c r="I423" s="5">
        <f t="shared" si="19"/>
        <v>-6</v>
      </c>
      <c r="J423" s="2" t="s">
        <v>8</v>
      </c>
      <c r="K423" s="2" t="s">
        <v>586</v>
      </c>
      <c r="AD423" s="33" t="str">
        <f t="shared" si="20"/>
        <v>Friday</v>
      </c>
    </row>
    <row r="424" spans="1:30" x14ac:dyDescent="0.2">
      <c r="A424" s="23">
        <v>40157</v>
      </c>
      <c r="B424" s="2" t="s">
        <v>36</v>
      </c>
      <c r="C424" t="s">
        <v>55</v>
      </c>
      <c r="D424" t="s">
        <v>207</v>
      </c>
      <c r="E424" s="2">
        <v>45765</v>
      </c>
      <c r="F424" s="2" cm="1">
        <f t="array" ref="F424">_xlfn.IFS(B424="Owner Surrender",E424,B424="Stray",E424+6,B424="Stray w/identification",E424+11,B424="Bite",E424+10,B424="Other",E424+30,B424="BAS",E424+56,B424="Seized",E424)</f>
        <v>45765</v>
      </c>
      <c r="G424" s="2">
        <v>45768</v>
      </c>
      <c r="H424" s="5">
        <f t="shared" si="18"/>
        <v>3</v>
      </c>
      <c r="I424" s="5">
        <f t="shared" si="19"/>
        <v>3</v>
      </c>
      <c r="J424" s="2" t="s">
        <v>31</v>
      </c>
      <c r="K424" s="2" t="s">
        <v>587</v>
      </c>
      <c r="L424" t="s">
        <v>532</v>
      </c>
      <c r="AD424" s="33" t="str">
        <f t="shared" si="20"/>
        <v>Monday</v>
      </c>
    </row>
    <row r="425" spans="1:30" x14ac:dyDescent="0.2">
      <c r="A425" s="23">
        <v>40158</v>
      </c>
      <c r="B425" s="2" t="s">
        <v>179</v>
      </c>
      <c r="C425" t="s">
        <v>71</v>
      </c>
      <c r="D425" t="s">
        <v>207</v>
      </c>
      <c r="E425" s="2">
        <v>45765</v>
      </c>
      <c r="F425" s="2" cm="1">
        <f t="array" ref="F425">_xlfn.IFS(B425="Owner Surrender",E425,B425="Stray",E425+6,B425="Stray w/identification",E425+11,B425="Bite",E425+10,B425="Other",E425+30,B425="BAS",E425+56,B425="Seized",E425)</f>
        <v>45776</v>
      </c>
      <c r="G425" s="2">
        <v>45765</v>
      </c>
      <c r="H425" s="5">
        <f t="shared" si="18"/>
        <v>0</v>
      </c>
      <c r="I425" s="5">
        <f t="shared" si="19"/>
        <v>-11</v>
      </c>
      <c r="J425" s="2" t="s">
        <v>8</v>
      </c>
      <c r="K425" s="2" t="s">
        <v>586</v>
      </c>
      <c r="AD425" s="33" t="str">
        <f t="shared" si="20"/>
        <v>Friday</v>
      </c>
    </row>
    <row r="426" spans="1:30" x14ac:dyDescent="0.2">
      <c r="A426" s="23">
        <v>40160</v>
      </c>
      <c r="B426" s="2" t="s">
        <v>179</v>
      </c>
      <c r="C426" t="s">
        <v>108</v>
      </c>
      <c r="D426" t="s">
        <v>209</v>
      </c>
      <c r="E426" s="2">
        <v>45765</v>
      </c>
      <c r="F426" s="2" cm="1">
        <f t="array" ref="F426">_xlfn.IFS(B426="Owner Surrender",E426,B426="Stray",E426+6,B426="Stray w/identification",E426+11,B426="Bite",E426+10,B426="Other",E426+30,B426="BAS",E426+56,B426="Seized",E426)</f>
        <v>45776</v>
      </c>
      <c r="G426" s="2">
        <v>45776</v>
      </c>
      <c r="H426" s="5">
        <f t="shared" si="18"/>
        <v>11</v>
      </c>
      <c r="I426" s="5">
        <f t="shared" si="19"/>
        <v>0</v>
      </c>
      <c r="J426" s="2" t="s">
        <v>18</v>
      </c>
      <c r="K426" s="2" t="s">
        <v>586</v>
      </c>
      <c r="AD426" s="33" t="str">
        <f t="shared" si="20"/>
        <v>Tuesday</v>
      </c>
    </row>
    <row r="427" spans="1:30" x14ac:dyDescent="0.2">
      <c r="A427" s="23">
        <v>40161</v>
      </c>
      <c r="B427" s="2" t="s">
        <v>38</v>
      </c>
      <c r="C427" t="s">
        <v>507</v>
      </c>
      <c r="D427" t="s">
        <v>209</v>
      </c>
      <c r="E427" s="2">
        <v>45765</v>
      </c>
      <c r="F427" s="2" cm="1">
        <f t="array" ref="F427">_xlfn.IFS(B427="Owner Surrender",E427,B427="Stray",E427+6,B427="Stray w/identification",E427+11,B427="Bite",E427+10,B427="Other",E427+30,B427="BAS",E427+56,B427="Seized",E427)</f>
        <v>45771</v>
      </c>
      <c r="G427" s="2">
        <v>45796</v>
      </c>
      <c r="H427" s="5">
        <f t="shared" si="18"/>
        <v>31</v>
      </c>
      <c r="I427" s="5">
        <f t="shared" si="19"/>
        <v>25</v>
      </c>
      <c r="J427" s="2" t="s">
        <v>18</v>
      </c>
      <c r="K427" s="2" t="s">
        <v>586</v>
      </c>
      <c r="AD427" s="33" t="str">
        <f t="shared" si="20"/>
        <v>Monday</v>
      </c>
    </row>
    <row r="428" spans="1:30" x14ac:dyDescent="0.2">
      <c r="A428" s="23">
        <v>40162</v>
      </c>
      <c r="B428" s="2" t="s">
        <v>36</v>
      </c>
      <c r="C428" t="s">
        <v>49</v>
      </c>
      <c r="D428" t="s">
        <v>207</v>
      </c>
      <c r="E428" s="2">
        <v>45766</v>
      </c>
      <c r="F428" s="2" cm="1">
        <f t="array" ref="F428">_xlfn.IFS(B428="Owner Surrender",E428,B428="Stray",E428+6,B428="Stray w/identification",E428+11,B428="Bite",E428+10,B428="Other",E428+30,B428="BAS",E428+56,B428="Seized",E428)</f>
        <v>45766</v>
      </c>
      <c r="G428" s="2">
        <v>45768</v>
      </c>
      <c r="H428" s="5">
        <f t="shared" si="18"/>
        <v>2</v>
      </c>
      <c r="I428" s="5">
        <f t="shared" si="19"/>
        <v>2</v>
      </c>
      <c r="J428" s="2" t="s">
        <v>31</v>
      </c>
      <c r="K428" s="2" t="s">
        <v>587</v>
      </c>
      <c r="L428" t="s">
        <v>531</v>
      </c>
      <c r="AD428" s="33" t="str">
        <f t="shared" si="20"/>
        <v>Monday</v>
      </c>
    </row>
    <row r="429" spans="1:30" x14ac:dyDescent="0.2">
      <c r="A429" s="23">
        <v>40164</v>
      </c>
      <c r="B429" s="2" t="s">
        <v>36</v>
      </c>
      <c r="C429" t="s">
        <v>49</v>
      </c>
      <c r="D429" t="s">
        <v>207</v>
      </c>
      <c r="E429" s="2">
        <v>45758</v>
      </c>
      <c r="F429" s="2" cm="1">
        <f t="array" ref="F429">_xlfn.IFS(B429="Owner Surrender",E429,B429="Stray",E429+6,B429="Stray w/identification",E429+11,B429="Bite",E429+10,B429="Other",E429+30,B429="BAS",E429+56,B429="Seized",E429)</f>
        <v>45758</v>
      </c>
      <c r="G429" s="2">
        <v>45761</v>
      </c>
      <c r="H429" s="5">
        <f t="shared" si="18"/>
        <v>3</v>
      </c>
      <c r="I429" s="5">
        <f t="shared" si="19"/>
        <v>3</v>
      </c>
      <c r="J429" s="2" t="s">
        <v>31</v>
      </c>
      <c r="K429" s="2" t="s">
        <v>587</v>
      </c>
      <c r="L429" t="s">
        <v>530</v>
      </c>
      <c r="AD429" s="33" t="str">
        <f t="shared" si="20"/>
        <v>Monday</v>
      </c>
    </row>
    <row r="430" spans="1:30" x14ac:dyDescent="0.2">
      <c r="A430" s="23">
        <v>40167</v>
      </c>
      <c r="B430" s="2" t="s">
        <v>38</v>
      </c>
      <c r="C430" t="s">
        <v>49</v>
      </c>
      <c r="D430" t="s">
        <v>208</v>
      </c>
      <c r="E430" s="2">
        <v>45766</v>
      </c>
      <c r="F430" s="2" cm="1">
        <f t="array" ref="F430">_xlfn.IFS(B430="Owner Surrender",E430,B430="Stray",E430+6,B430="Stray w/identification",E430+11,B430="Bite",E430+10,B430="Other",E430+30,B430="BAS",E430+56,B430="Seized",E430)</f>
        <v>45772</v>
      </c>
      <c r="H430" s="5">
        <f t="shared" si="18"/>
        <v>-45766</v>
      </c>
      <c r="I430" s="5">
        <f t="shared" si="19"/>
        <v>-45772</v>
      </c>
      <c r="J430" s="2" t="s">
        <v>21</v>
      </c>
      <c r="K430" s="2" t="s">
        <v>586</v>
      </c>
      <c r="AD430" s="33" t="str">
        <f t="shared" si="20"/>
        <v>Saturday</v>
      </c>
    </row>
    <row r="431" spans="1:30" x14ac:dyDescent="0.2">
      <c r="A431" s="23">
        <v>40168</v>
      </c>
      <c r="B431" s="2" t="s">
        <v>36</v>
      </c>
      <c r="C431" t="s">
        <v>48</v>
      </c>
      <c r="D431" t="s">
        <v>207</v>
      </c>
      <c r="E431" s="2">
        <v>45766</v>
      </c>
      <c r="F431" s="2" cm="1">
        <f t="array" ref="F431">_xlfn.IFS(B431="Owner Surrender",E431,B431="Stray",E431+6,B431="Stray w/identification",E431+11,B431="Bite",E431+10,B431="Other",E431+30,B431="BAS",E431+56,B431="Seized",E431)</f>
        <v>45766</v>
      </c>
      <c r="G431" s="2">
        <v>45776</v>
      </c>
      <c r="H431" s="5">
        <f t="shared" si="18"/>
        <v>10</v>
      </c>
      <c r="I431" s="5">
        <f t="shared" si="19"/>
        <v>10</v>
      </c>
      <c r="J431" s="2" t="s">
        <v>31</v>
      </c>
      <c r="K431" s="2" t="s">
        <v>587</v>
      </c>
      <c r="AD431" s="33" t="str">
        <f t="shared" si="20"/>
        <v>Tuesday</v>
      </c>
    </row>
    <row r="432" spans="1:30" x14ac:dyDescent="0.2">
      <c r="A432" s="23">
        <v>40169</v>
      </c>
      <c r="B432" s="2" t="s">
        <v>36</v>
      </c>
      <c r="C432" t="s">
        <v>108</v>
      </c>
      <c r="D432" t="s">
        <v>207</v>
      </c>
      <c r="E432" s="2">
        <v>45768</v>
      </c>
      <c r="F432" s="2" cm="1">
        <f t="array" ref="F432">_xlfn.IFS(B432="Owner Surrender",E432,B432="Stray",E432+6,B432="Stray w/identification",E432+11,B432="Bite",E432+10,B432="Other",E432+30,B432="BAS",E432+56,B432="Seized",E432)</f>
        <v>45768</v>
      </c>
      <c r="G432" s="2">
        <v>45771</v>
      </c>
      <c r="H432" s="5">
        <f t="shared" si="18"/>
        <v>3</v>
      </c>
      <c r="I432" s="5">
        <f t="shared" si="19"/>
        <v>3</v>
      </c>
      <c r="J432" s="2" t="s">
        <v>18</v>
      </c>
      <c r="K432" s="2" t="s">
        <v>586</v>
      </c>
      <c r="AD432" s="33" t="str">
        <f t="shared" si="20"/>
        <v>Thursday</v>
      </c>
    </row>
    <row r="433" spans="1:30" x14ac:dyDescent="0.2">
      <c r="A433" s="23">
        <v>40170</v>
      </c>
      <c r="B433" s="2" t="s">
        <v>38</v>
      </c>
      <c r="C433" t="s">
        <v>521</v>
      </c>
      <c r="D433" t="s">
        <v>207</v>
      </c>
      <c r="E433" s="2">
        <v>45768</v>
      </c>
      <c r="F433" s="2" cm="1">
        <f t="array" ref="F433">_xlfn.IFS(B433="Owner Surrender",E433,B433="Stray",E433+6,B433="Stray w/identification",E433+11,B433="Bite",E433+10,B433="Other",E433+30,B433="BAS",E433+56,B433="Seized",E433)</f>
        <v>45774</v>
      </c>
      <c r="G433" s="2">
        <v>45776</v>
      </c>
      <c r="H433" s="5">
        <f t="shared" si="18"/>
        <v>8</v>
      </c>
      <c r="I433" s="5">
        <f t="shared" si="19"/>
        <v>2</v>
      </c>
      <c r="J433" s="2" t="s">
        <v>11</v>
      </c>
      <c r="K433" s="2" t="s">
        <v>586</v>
      </c>
      <c r="AD433" s="33" t="str">
        <f t="shared" si="20"/>
        <v>Tuesday</v>
      </c>
    </row>
    <row r="434" spans="1:30" x14ac:dyDescent="0.2">
      <c r="A434" s="23">
        <v>40171</v>
      </c>
      <c r="B434" s="2" t="s">
        <v>36</v>
      </c>
      <c r="C434" t="s">
        <v>420</v>
      </c>
      <c r="D434" t="s">
        <v>207</v>
      </c>
      <c r="E434" s="2">
        <v>45767</v>
      </c>
      <c r="F434" s="2" cm="1">
        <f t="array" ref="F434">_xlfn.IFS(B434="Owner Surrender",E434,B434="Stray",E434+6,B434="Stray w/identification",E434+11,B434="Bite",E434+10,B434="Other",E434+30,B434="BAS",E434+56,B434="Seized",E434)</f>
        <v>45767</v>
      </c>
      <c r="G434" s="2">
        <v>45790</v>
      </c>
      <c r="H434" s="5">
        <f t="shared" si="18"/>
        <v>23</v>
      </c>
      <c r="I434" s="5">
        <f t="shared" si="19"/>
        <v>23</v>
      </c>
      <c r="J434" s="2" t="s">
        <v>31</v>
      </c>
      <c r="K434" s="2" t="s">
        <v>587</v>
      </c>
      <c r="AD434" s="33" t="str">
        <f t="shared" si="20"/>
        <v>Tuesday</v>
      </c>
    </row>
    <row r="435" spans="1:30" x14ac:dyDescent="0.2">
      <c r="A435" s="23">
        <v>40172</v>
      </c>
      <c r="B435" s="2" t="s">
        <v>36</v>
      </c>
      <c r="C435" t="s">
        <v>420</v>
      </c>
      <c r="D435" t="s">
        <v>207</v>
      </c>
      <c r="E435" s="2">
        <v>45767</v>
      </c>
      <c r="F435" s="2" cm="1">
        <f t="array" ref="F435">_xlfn.IFS(B435="Owner Surrender",E435,B435="Stray",E435+6,B435="Stray w/identification",E435+11,B435="Bite",E435+10,B435="Other",E435+30,B435="BAS",E435+56,B435="Seized",E435)</f>
        <v>45767</v>
      </c>
      <c r="G435" s="2">
        <v>45776</v>
      </c>
      <c r="H435" s="5">
        <f t="shared" si="18"/>
        <v>9</v>
      </c>
      <c r="I435" s="5">
        <f t="shared" si="19"/>
        <v>9</v>
      </c>
      <c r="J435" s="2" t="s">
        <v>31</v>
      </c>
      <c r="K435" s="2" t="s">
        <v>587</v>
      </c>
      <c r="AD435" s="33" t="str">
        <f t="shared" si="20"/>
        <v>Tuesday</v>
      </c>
    </row>
    <row r="436" spans="1:30" x14ac:dyDescent="0.2">
      <c r="A436" s="23">
        <v>40177</v>
      </c>
      <c r="B436" s="2" t="s">
        <v>179</v>
      </c>
      <c r="C436" t="s">
        <v>107</v>
      </c>
      <c r="D436" t="s">
        <v>207</v>
      </c>
      <c r="E436" s="2">
        <v>45767</v>
      </c>
      <c r="F436" s="2" cm="1">
        <f t="array" ref="F436">_xlfn.IFS(B436="Owner Surrender",E436,B436="Stray",E436+6,B436="Stray w/identification",E436+11,B436="Bite",E436+10,B436="Other",E436+30,B436="BAS",E436+56,B436="Seized",E436)</f>
        <v>45778</v>
      </c>
      <c r="G436" s="2">
        <v>45768</v>
      </c>
      <c r="H436" s="5">
        <f t="shared" si="18"/>
        <v>1</v>
      </c>
      <c r="I436" s="5">
        <f t="shared" si="19"/>
        <v>-10</v>
      </c>
      <c r="J436" s="2" t="s">
        <v>8</v>
      </c>
      <c r="K436" s="2" t="s">
        <v>586</v>
      </c>
      <c r="AD436" s="33" t="str">
        <f t="shared" si="20"/>
        <v>Monday</v>
      </c>
    </row>
    <row r="437" spans="1:30" x14ac:dyDescent="0.2">
      <c r="A437" s="23">
        <v>40188</v>
      </c>
      <c r="B437" s="2" t="s">
        <v>36</v>
      </c>
      <c r="C437" t="s">
        <v>55</v>
      </c>
      <c r="D437" t="s">
        <v>208</v>
      </c>
      <c r="E437" s="2">
        <v>45769</v>
      </c>
      <c r="F437" s="2" cm="1">
        <f t="array" ref="F437">_xlfn.IFS(B437="Owner Surrender",E437,B437="Stray",E437+6,B437="Stray w/identification",E437+11,B437="Bite",E437+10,B437="Other",E437+30,B437="BAS",E437+56,B437="Seized",E437)</f>
        <v>45769</v>
      </c>
      <c r="G437" s="2">
        <v>45779</v>
      </c>
      <c r="H437" s="5">
        <f t="shared" si="18"/>
        <v>10</v>
      </c>
      <c r="I437" s="5">
        <f t="shared" si="19"/>
        <v>10</v>
      </c>
      <c r="J437" s="2" t="s">
        <v>31</v>
      </c>
      <c r="K437" s="2" t="s">
        <v>587</v>
      </c>
      <c r="AD437" s="33" t="str">
        <f t="shared" si="20"/>
        <v>Friday</v>
      </c>
    </row>
    <row r="438" spans="1:30" x14ac:dyDescent="0.2">
      <c r="A438" s="23">
        <v>40209</v>
      </c>
      <c r="B438" s="2" t="s">
        <v>38</v>
      </c>
      <c r="C438" t="s">
        <v>75</v>
      </c>
      <c r="D438" t="s">
        <v>208</v>
      </c>
      <c r="E438" s="2">
        <v>45769</v>
      </c>
      <c r="F438" s="2" cm="1">
        <f t="array" ref="F438">_xlfn.IFS(B438="Owner Surrender",E438,B438="Stray",E438+6,B438="Stray w/identification",E438+11,B438="Bite",E438+10,B438="Other",E438+30,B438="BAS",E438+56,B438="Seized",E438)</f>
        <v>45775</v>
      </c>
      <c r="G438" s="2">
        <v>45779</v>
      </c>
      <c r="H438" s="5">
        <f t="shared" si="18"/>
        <v>10</v>
      </c>
      <c r="I438" s="5">
        <f t="shared" si="19"/>
        <v>4</v>
      </c>
      <c r="J438" s="2" t="s">
        <v>31</v>
      </c>
      <c r="K438" s="2" t="s">
        <v>587</v>
      </c>
      <c r="AD438" s="33" t="str">
        <f t="shared" si="20"/>
        <v>Friday</v>
      </c>
    </row>
    <row r="439" spans="1:30" x14ac:dyDescent="0.2">
      <c r="A439" s="23">
        <v>40210</v>
      </c>
      <c r="B439" s="2" t="s">
        <v>38</v>
      </c>
      <c r="C439" t="s">
        <v>75</v>
      </c>
      <c r="D439" t="s">
        <v>208</v>
      </c>
      <c r="E439" s="2">
        <v>45769</v>
      </c>
      <c r="F439" s="2" cm="1">
        <f t="array" ref="F439">_xlfn.IFS(B439="Owner Surrender",E439,B439="Stray",E439+6,B439="Stray w/identification",E439+11,B439="Bite",E439+10,B439="Other",E439+30,B439="BAS",E439+56,B439="Seized",E439)</f>
        <v>45775</v>
      </c>
      <c r="G439" s="2">
        <v>45779</v>
      </c>
      <c r="H439" s="5">
        <f t="shared" si="18"/>
        <v>10</v>
      </c>
      <c r="I439" s="5">
        <f t="shared" si="19"/>
        <v>4</v>
      </c>
      <c r="J439" s="2" t="s">
        <v>31</v>
      </c>
      <c r="K439" s="2" t="s">
        <v>587</v>
      </c>
      <c r="AD439" s="33" t="str">
        <f t="shared" si="20"/>
        <v>Friday</v>
      </c>
    </row>
    <row r="440" spans="1:30" x14ac:dyDescent="0.2">
      <c r="A440" s="23">
        <v>40225</v>
      </c>
      <c r="B440" s="2" t="s">
        <v>179</v>
      </c>
      <c r="C440" t="s">
        <v>49</v>
      </c>
      <c r="D440" t="s">
        <v>207</v>
      </c>
      <c r="E440" s="2">
        <v>45771</v>
      </c>
      <c r="F440" s="2" cm="1">
        <f t="array" ref="F440">_xlfn.IFS(B440="Owner Surrender",E440,B440="Stray",E440+6,B440="Stray w/identification",E440+11,B440="Bite",E440+10,B440="Other",E440+30,B440="BAS",E440+56,B440="Seized",E440)</f>
        <v>45782</v>
      </c>
      <c r="G440" s="2">
        <v>45772</v>
      </c>
      <c r="H440" s="5">
        <f t="shared" si="18"/>
        <v>1</v>
      </c>
      <c r="I440" s="5">
        <f t="shared" si="19"/>
        <v>-10</v>
      </c>
      <c r="J440" s="2" t="s">
        <v>8</v>
      </c>
      <c r="K440" s="2" t="s">
        <v>586</v>
      </c>
      <c r="AD440" s="33" t="str">
        <f t="shared" si="20"/>
        <v>Friday</v>
      </c>
    </row>
    <row r="441" spans="1:30" x14ac:dyDescent="0.2">
      <c r="A441" s="23">
        <v>40234</v>
      </c>
      <c r="B441" s="2" t="s">
        <v>38</v>
      </c>
      <c r="C441" t="s">
        <v>89</v>
      </c>
      <c r="D441" t="s">
        <v>207</v>
      </c>
      <c r="E441" s="2">
        <v>45772</v>
      </c>
      <c r="F441" s="2" cm="1">
        <f t="array" ref="F441">_xlfn.IFS(B441="Owner Surrender",E441,B441="Stray",E441+6,B441="Stray w/identification",E441+11,B441="Bite",E441+10,B441="Other",E441+30,B441="BAS",E441+56,B441="Seized",E441)</f>
        <v>45778</v>
      </c>
      <c r="G441" s="2">
        <v>45790</v>
      </c>
      <c r="H441" s="5">
        <f t="shared" si="18"/>
        <v>18</v>
      </c>
      <c r="I441" s="5">
        <f t="shared" si="19"/>
        <v>12</v>
      </c>
      <c r="J441" s="2" t="s">
        <v>31</v>
      </c>
      <c r="K441" s="2" t="s">
        <v>587</v>
      </c>
      <c r="AD441" s="33" t="str">
        <f t="shared" si="20"/>
        <v>Tuesday</v>
      </c>
    </row>
    <row r="442" spans="1:30" x14ac:dyDescent="0.2">
      <c r="A442" s="23">
        <v>40240</v>
      </c>
      <c r="B442" s="2" t="s">
        <v>60</v>
      </c>
      <c r="C442" t="s">
        <v>75</v>
      </c>
      <c r="D442" t="s">
        <v>208</v>
      </c>
      <c r="E442" s="2">
        <v>45772</v>
      </c>
      <c r="F442" s="2" cm="1">
        <f t="array" ref="F442">_xlfn.IFS(B442="Owner Surrender",E442,B442="Stray",E442+6,B442="Stray w/identification",E442+11,B442="Bite",E442+10,B442="Other",E442+30,B442="BAS",E442+56,B442="Seized",E442)</f>
        <v>45802</v>
      </c>
      <c r="G442" s="2">
        <v>45779</v>
      </c>
      <c r="H442" s="5">
        <f t="shared" si="18"/>
        <v>7</v>
      </c>
      <c r="I442" s="5">
        <f t="shared" si="19"/>
        <v>-23</v>
      </c>
      <c r="J442" s="2" t="s">
        <v>8</v>
      </c>
      <c r="K442" s="2" t="s">
        <v>586</v>
      </c>
      <c r="AD442" s="33" t="str">
        <f t="shared" si="20"/>
        <v>Friday</v>
      </c>
    </row>
    <row r="443" spans="1:30" x14ac:dyDescent="0.2">
      <c r="A443" s="23">
        <v>40244</v>
      </c>
      <c r="B443" s="2" t="s">
        <v>36</v>
      </c>
      <c r="C443" t="s">
        <v>148</v>
      </c>
      <c r="D443" t="s">
        <v>208</v>
      </c>
      <c r="E443" s="2">
        <v>45773</v>
      </c>
      <c r="F443" s="2" cm="1">
        <f t="array" ref="F443">_xlfn.IFS(B443="Owner Surrender",E443,B443="Stray",E443+6,B443="Stray w/identification",E443+11,B443="Bite",E443+10,B443="Other",E443+30,B443="BAS",E443+56,B443="Seized",E443)</f>
        <v>45773</v>
      </c>
      <c r="G443" s="2">
        <v>45815</v>
      </c>
      <c r="H443" s="5">
        <f t="shared" si="18"/>
        <v>42</v>
      </c>
      <c r="I443" s="5">
        <f t="shared" si="19"/>
        <v>42</v>
      </c>
      <c r="J443" s="2" t="s">
        <v>18</v>
      </c>
      <c r="K443" s="2" t="s">
        <v>586</v>
      </c>
      <c r="AD443" s="33" t="str">
        <f t="shared" si="20"/>
        <v>Saturday</v>
      </c>
    </row>
    <row r="444" spans="1:30" x14ac:dyDescent="0.2">
      <c r="A444" s="23">
        <v>40245</v>
      </c>
      <c r="B444" s="2" t="s">
        <v>36</v>
      </c>
      <c r="C444" t="s">
        <v>148</v>
      </c>
      <c r="D444" t="s">
        <v>208</v>
      </c>
      <c r="E444" s="2">
        <v>45773</v>
      </c>
      <c r="F444" s="2" cm="1">
        <f t="array" ref="F444">_xlfn.IFS(B444="Owner Surrender",E444,B444="Stray",E444+6,B444="Stray w/identification",E444+11,B444="Bite",E444+10,B444="Other",E444+30,B444="BAS",E444+56,B444="Seized",E444)</f>
        <v>45773</v>
      </c>
      <c r="G444" s="2">
        <v>45815</v>
      </c>
      <c r="H444" s="5">
        <f t="shared" si="18"/>
        <v>42</v>
      </c>
      <c r="I444" s="5">
        <f t="shared" si="19"/>
        <v>42</v>
      </c>
      <c r="J444" s="2" t="s">
        <v>18</v>
      </c>
      <c r="K444" s="2" t="s">
        <v>586</v>
      </c>
      <c r="AD444" s="33" t="str">
        <f t="shared" si="20"/>
        <v>Saturday</v>
      </c>
    </row>
    <row r="445" spans="1:30" x14ac:dyDescent="0.2">
      <c r="A445" s="23">
        <v>40246</v>
      </c>
      <c r="B445" s="2" t="s">
        <v>36</v>
      </c>
      <c r="C445" t="s">
        <v>148</v>
      </c>
      <c r="D445" t="s">
        <v>208</v>
      </c>
      <c r="E445" s="2">
        <v>45773</v>
      </c>
      <c r="F445" s="2" cm="1">
        <f t="array" ref="F445">_xlfn.IFS(B445="Owner Surrender",E445,B445="Stray",E445+6,B445="Stray w/identification",E445+11,B445="Bite",E445+10,B445="Other",E445+30,B445="BAS",E445+56,B445="Seized",E445)</f>
        <v>45773</v>
      </c>
      <c r="G445" s="2">
        <v>45815</v>
      </c>
      <c r="H445" s="5">
        <f t="shared" si="18"/>
        <v>42</v>
      </c>
      <c r="I445" s="5">
        <f t="shared" si="19"/>
        <v>42</v>
      </c>
      <c r="J445" s="2" t="s">
        <v>18</v>
      </c>
      <c r="K445" s="2" t="s">
        <v>586</v>
      </c>
      <c r="AD445" s="33" t="str">
        <f t="shared" si="20"/>
        <v>Saturday</v>
      </c>
    </row>
    <row r="446" spans="1:30" x14ac:dyDescent="0.2">
      <c r="A446" s="23">
        <v>40247</v>
      </c>
      <c r="B446" s="2" t="s">
        <v>36</v>
      </c>
      <c r="C446" t="s">
        <v>148</v>
      </c>
      <c r="D446" t="s">
        <v>208</v>
      </c>
      <c r="E446" s="2">
        <v>45773</v>
      </c>
      <c r="F446" s="2" cm="1">
        <f t="array" ref="F446">_xlfn.IFS(B446="Owner Surrender",E446,B446="Stray",E446+6,B446="Stray w/identification",E446+11,B446="Bite",E446+10,B446="Other",E446+30,B446="BAS",E446+56,B446="Seized",E446)</f>
        <v>45773</v>
      </c>
      <c r="G446" s="2">
        <v>45790</v>
      </c>
      <c r="H446" s="5">
        <f t="shared" si="18"/>
        <v>17</v>
      </c>
      <c r="I446" s="5">
        <f t="shared" si="19"/>
        <v>17</v>
      </c>
      <c r="J446" s="2" t="s">
        <v>31</v>
      </c>
      <c r="K446" s="2" t="s">
        <v>587</v>
      </c>
      <c r="AD446" s="33" t="str">
        <f t="shared" si="20"/>
        <v>Tuesday</v>
      </c>
    </row>
    <row r="447" spans="1:30" x14ac:dyDescent="0.2">
      <c r="A447" s="23">
        <v>40248</v>
      </c>
      <c r="B447" s="2" t="s">
        <v>36</v>
      </c>
      <c r="C447" t="s">
        <v>148</v>
      </c>
      <c r="D447" t="s">
        <v>208</v>
      </c>
      <c r="E447" s="2">
        <v>45773</v>
      </c>
      <c r="F447" s="2" cm="1">
        <f t="array" ref="F447">_xlfn.IFS(B447="Owner Surrender",E447,B447="Stray",E447+6,B447="Stray w/identification",E447+11,B447="Bite",E447+10,B447="Other",E447+30,B447="BAS",E447+56,B447="Seized",E447)</f>
        <v>45773</v>
      </c>
      <c r="G447" s="2">
        <v>45788</v>
      </c>
      <c r="H447" s="5">
        <f t="shared" si="18"/>
        <v>15</v>
      </c>
      <c r="I447" s="5">
        <f t="shared" si="19"/>
        <v>15</v>
      </c>
      <c r="J447" s="2" t="s">
        <v>31</v>
      </c>
      <c r="K447" s="2" t="s">
        <v>587</v>
      </c>
      <c r="AD447" s="33" t="str">
        <f t="shared" si="20"/>
        <v>Sunday</v>
      </c>
    </row>
    <row r="448" spans="1:30" x14ac:dyDescent="0.2">
      <c r="A448" s="23">
        <v>40249</v>
      </c>
      <c r="B448" s="2" t="s">
        <v>36</v>
      </c>
      <c r="C448" t="s">
        <v>148</v>
      </c>
      <c r="D448" t="s">
        <v>208</v>
      </c>
      <c r="E448" s="2">
        <v>45773</v>
      </c>
      <c r="F448" s="2" cm="1">
        <f t="array" ref="F448">_xlfn.IFS(B448="Owner Surrender",E448,B448="Stray",E448+6,B448="Stray w/identification",E448+11,B448="Bite",E448+10,B448="Other",E448+30,B448="BAS",E448+56,B448="Seized",E448)</f>
        <v>45773</v>
      </c>
      <c r="G448" s="2">
        <v>45790</v>
      </c>
      <c r="H448" s="5">
        <f t="shared" si="18"/>
        <v>17</v>
      </c>
      <c r="I448" s="5">
        <f t="shared" si="19"/>
        <v>17</v>
      </c>
      <c r="J448" s="2" t="s">
        <v>31</v>
      </c>
      <c r="K448" s="2" t="s">
        <v>587</v>
      </c>
      <c r="AD448" s="33" t="str">
        <f t="shared" si="20"/>
        <v>Tuesday</v>
      </c>
    </row>
    <row r="449" spans="1:30" x14ac:dyDescent="0.2">
      <c r="A449" s="23">
        <v>40250</v>
      </c>
      <c r="B449" s="2" t="s">
        <v>36</v>
      </c>
      <c r="C449" t="s">
        <v>148</v>
      </c>
      <c r="D449" t="s">
        <v>208</v>
      </c>
      <c r="E449" s="2">
        <v>45773</v>
      </c>
      <c r="F449" s="2" cm="1">
        <f t="array" ref="F449">_xlfn.IFS(B449="Owner Surrender",E449,B449="Stray",E449+6,B449="Stray w/identification",E449+11,B449="Bite",E449+10,B449="Other",E449+30,B449="BAS",E449+56,B449="Seized",E449)</f>
        <v>45773</v>
      </c>
      <c r="G449" s="2">
        <v>45790</v>
      </c>
      <c r="H449" s="5">
        <f t="shared" si="18"/>
        <v>17</v>
      </c>
      <c r="I449" s="5">
        <f t="shared" si="19"/>
        <v>17</v>
      </c>
      <c r="J449" s="2" t="s">
        <v>31</v>
      </c>
      <c r="K449" s="2" t="s">
        <v>588</v>
      </c>
      <c r="M449" t="s">
        <v>538</v>
      </c>
      <c r="AD449" s="33" t="str">
        <f t="shared" si="20"/>
        <v>Tuesday</v>
      </c>
    </row>
    <row r="450" spans="1:30" x14ac:dyDescent="0.2">
      <c r="A450" s="23">
        <v>40251</v>
      </c>
      <c r="B450" s="2" t="s">
        <v>36</v>
      </c>
      <c r="C450" t="s">
        <v>148</v>
      </c>
      <c r="D450" t="s">
        <v>208</v>
      </c>
      <c r="E450" s="2">
        <v>45773</v>
      </c>
      <c r="F450" s="2" cm="1">
        <f t="array" ref="F450">_xlfn.IFS(B450="Owner Surrender",E450,B450="Stray",E450+6,B450="Stray w/identification",E450+11,B450="Bite",E450+10,B450="Other",E450+30,B450="BAS",E450+56,B450="Seized",E450)</f>
        <v>45773</v>
      </c>
      <c r="G450" s="2">
        <v>45790</v>
      </c>
      <c r="H450" s="5">
        <f t="shared" si="18"/>
        <v>17</v>
      </c>
      <c r="I450" s="5">
        <f t="shared" si="19"/>
        <v>17</v>
      </c>
      <c r="J450" s="2" t="s">
        <v>31</v>
      </c>
      <c r="K450" s="2" t="s">
        <v>587</v>
      </c>
      <c r="AD450" s="33" t="str">
        <f t="shared" si="20"/>
        <v>Tuesday</v>
      </c>
    </row>
    <row r="451" spans="1:30" x14ac:dyDescent="0.2">
      <c r="A451" s="23">
        <v>40252</v>
      </c>
      <c r="B451" s="2" t="s">
        <v>36</v>
      </c>
      <c r="C451" t="s">
        <v>148</v>
      </c>
      <c r="D451" t="s">
        <v>208</v>
      </c>
      <c r="E451" s="2">
        <v>45773</v>
      </c>
      <c r="F451" s="2" cm="1">
        <f t="array" ref="F451">_xlfn.IFS(B451="Owner Surrender",E451,B451="Stray",E451+6,B451="Stray w/identification",E451+11,B451="Bite",E451+10,B451="Other",E451+30,B451="BAS",E451+56,B451="Seized",E451)</f>
        <v>45773</v>
      </c>
      <c r="G451" s="2">
        <v>45790</v>
      </c>
      <c r="H451" s="5">
        <f t="shared" ref="H451:H514" si="21">+G451-E451</f>
        <v>17</v>
      </c>
      <c r="I451" s="5">
        <f t="shared" ref="I451:I514" si="22">G451-F451</f>
        <v>17</v>
      </c>
      <c r="J451" s="2" t="s">
        <v>31</v>
      </c>
      <c r="K451" s="2" t="s">
        <v>588</v>
      </c>
      <c r="M451" t="s">
        <v>33</v>
      </c>
      <c r="AD451" s="33" t="str">
        <f t="shared" si="20"/>
        <v>Tuesday</v>
      </c>
    </row>
    <row r="452" spans="1:30" x14ac:dyDescent="0.2">
      <c r="A452" s="23">
        <v>40253</v>
      </c>
      <c r="B452" s="2" t="s">
        <v>36</v>
      </c>
      <c r="C452" t="s">
        <v>49</v>
      </c>
      <c r="D452" t="s">
        <v>208</v>
      </c>
      <c r="E452" s="2">
        <v>45773</v>
      </c>
      <c r="F452" s="2" cm="1">
        <f t="array" ref="F452">_xlfn.IFS(B452="Owner Surrender",E452,B452="Stray",E452+6,B452="Stray w/identification",E452+11,B452="Bite",E452+10,B452="Other",E452+30,B452="BAS",E452+56,B452="Seized",E452)</f>
        <v>45773</v>
      </c>
      <c r="G452" s="2">
        <v>45776</v>
      </c>
      <c r="H452" s="5">
        <f t="shared" si="21"/>
        <v>3</v>
      </c>
      <c r="I452" s="5">
        <f t="shared" si="22"/>
        <v>3</v>
      </c>
      <c r="J452" s="2" t="s">
        <v>31</v>
      </c>
      <c r="K452" s="2" t="s">
        <v>588</v>
      </c>
      <c r="M452" t="s">
        <v>33</v>
      </c>
      <c r="AD452" s="33" t="str">
        <f t="shared" ref="AD452:AD515" si="23">TEXT(G452,"DDDD")</f>
        <v>Tuesday</v>
      </c>
    </row>
    <row r="453" spans="1:30" x14ac:dyDescent="0.2">
      <c r="A453" s="23">
        <v>40254</v>
      </c>
      <c r="B453" s="2" t="s">
        <v>36</v>
      </c>
      <c r="C453" t="s">
        <v>49</v>
      </c>
      <c r="D453" t="s">
        <v>208</v>
      </c>
      <c r="E453" s="2">
        <v>45773</v>
      </c>
      <c r="F453" s="2" cm="1">
        <f t="array" ref="F453">_xlfn.IFS(B453="Owner Surrender",E453,B453="Stray",E453+6,B453="Stray w/identification",E453+11,B453="Bite",E453+10,B453="Other",E453+30,B453="BAS",E453+56,B453="Seized",E453)</f>
        <v>45773</v>
      </c>
      <c r="G453" s="2">
        <v>45776</v>
      </c>
      <c r="H453" s="5">
        <f t="shared" si="21"/>
        <v>3</v>
      </c>
      <c r="I453" s="5">
        <f t="shared" si="22"/>
        <v>3</v>
      </c>
      <c r="J453" s="2" t="s">
        <v>31</v>
      </c>
      <c r="K453" s="2" t="s">
        <v>588</v>
      </c>
      <c r="M453" t="s">
        <v>33</v>
      </c>
      <c r="AD453" s="33" t="str">
        <f t="shared" si="23"/>
        <v>Tuesday</v>
      </c>
    </row>
    <row r="454" spans="1:30" x14ac:dyDescent="0.2">
      <c r="A454" s="23">
        <v>40255</v>
      </c>
      <c r="B454" s="2" t="s">
        <v>36</v>
      </c>
      <c r="C454" t="s">
        <v>49</v>
      </c>
      <c r="D454" t="s">
        <v>208</v>
      </c>
      <c r="E454" s="2">
        <v>45773</v>
      </c>
      <c r="F454" s="2" cm="1">
        <f t="array" ref="F454">_xlfn.IFS(B454="Owner Surrender",E454,B454="Stray",E454+6,B454="Stray w/identification",E454+11,B454="Bite",E454+10,B454="Other",E454+30,B454="BAS",E454+56,B454="Seized",E454)</f>
        <v>45773</v>
      </c>
      <c r="G454" s="2">
        <v>45776</v>
      </c>
      <c r="H454" s="5">
        <f t="shared" si="21"/>
        <v>3</v>
      </c>
      <c r="I454" s="5">
        <f t="shared" si="22"/>
        <v>3</v>
      </c>
      <c r="J454" s="2" t="s">
        <v>31</v>
      </c>
      <c r="K454" s="2" t="s">
        <v>588</v>
      </c>
      <c r="M454" t="s">
        <v>33</v>
      </c>
      <c r="AD454" s="33" t="str">
        <f t="shared" si="23"/>
        <v>Tuesday</v>
      </c>
    </row>
    <row r="455" spans="1:30" x14ac:dyDescent="0.2">
      <c r="A455" s="23">
        <v>40256</v>
      </c>
      <c r="B455" s="2" t="s">
        <v>36</v>
      </c>
      <c r="C455" t="s">
        <v>49</v>
      </c>
      <c r="D455" t="s">
        <v>208</v>
      </c>
      <c r="E455" s="2">
        <v>45773</v>
      </c>
      <c r="F455" s="2" cm="1">
        <f t="array" ref="F455">_xlfn.IFS(B455="Owner Surrender",E455,B455="Stray",E455+6,B455="Stray w/identification",E455+11,B455="Bite",E455+10,B455="Other",E455+30,B455="BAS",E455+56,B455="Seized",E455)</f>
        <v>45773</v>
      </c>
      <c r="G455" s="2">
        <v>45776</v>
      </c>
      <c r="H455" s="5">
        <f t="shared" si="21"/>
        <v>3</v>
      </c>
      <c r="I455" s="5">
        <f t="shared" si="22"/>
        <v>3</v>
      </c>
      <c r="J455" s="2" t="s">
        <v>31</v>
      </c>
      <c r="K455" s="2" t="s">
        <v>588</v>
      </c>
      <c r="M455" t="s">
        <v>33</v>
      </c>
      <c r="AD455" s="33" t="str">
        <f t="shared" si="23"/>
        <v>Tuesday</v>
      </c>
    </row>
    <row r="456" spans="1:30" x14ac:dyDescent="0.2">
      <c r="A456" s="23">
        <v>40257</v>
      </c>
      <c r="B456" s="2" t="s">
        <v>36</v>
      </c>
      <c r="C456" t="s">
        <v>49</v>
      </c>
      <c r="D456" t="s">
        <v>208</v>
      </c>
      <c r="E456" s="2">
        <v>45773</v>
      </c>
      <c r="F456" s="2" cm="1">
        <f t="array" ref="F456">_xlfn.IFS(B456="Owner Surrender",E456,B456="Stray",E456+6,B456="Stray w/identification",E456+11,B456="Bite",E456+10,B456="Other",E456+30,B456="BAS",E456+56,B456="Seized",E456)</f>
        <v>45773</v>
      </c>
      <c r="G456" s="2">
        <v>45776</v>
      </c>
      <c r="H456" s="5">
        <f t="shared" si="21"/>
        <v>3</v>
      </c>
      <c r="I456" s="5">
        <f t="shared" si="22"/>
        <v>3</v>
      </c>
      <c r="J456" s="2" t="s">
        <v>31</v>
      </c>
      <c r="K456" s="2" t="s">
        <v>588</v>
      </c>
      <c r="M456" t="s">
        <v>33</v>
      </c>
      <c r="AD456" s="33" t="str">
        <f t="shared" si="23"/>
        <v>Tuesday</v>
      </c>
    </row>
    <row r="457" spans="1:30" x14ac:dyDescent="0.2">
      <c r="A457" s="23">
        <v>40258</v>
      </c>
      <c r="B457" s="2" t="s">
        <v>36</v>
      </c>
      <c r="C457" t="s">
        <v>49</v>
      </c>
      <c r="D457" t="s">
        <v>208</v>
      </c>
      <c r="E457" s="2">
        <v>45773</v>
      </c>
      <c r="F457" s="2" cm="1">
        <f t="array" ref="F457">_xlfn.IFS(B457="Owner Surrender",E457,B457="Stray",E457+6,B457="Stray w/identification",E457+11,B457="Bite",E457+10,B457="Other",E457+30,B457="BAS",E457+56,B457="Seized",E457)</f>
        <v>45773</v>
      </c>
      <c r="G457" s="2">
        <v>45776</v>
      </c>
      <c r="H457" s="5">
        <f t="shared" si="21"/>
        <v>3</v>
      </c>
      <c r="I457" s="5">
        <f t="shared" si="22"/>
        <v>3</v>
      </c>
      <c r="J457" s="2" t="s">
        <v>31</v>
      </c>
      <c r="K457" s="2" t="s">
        <v>588</v>
      </c>
      <c r="M457" t="s">
        <v>33</v>
      </c>
      <c r="AD457" s="33" t="str">
        <f t="shared" si="23"/>
        <v>Tuesday</v>
      </c>
    </row>
    <row r="458" spans="1:30" x14ac:dyDescent="0.2">
      <c r="A458" s="23">
        <v>40259</v>
      </c>
      <c r="B458" s="2" t="s">
        <v>36</v>
      </c>
      <c r="C458" t="s">
        <v>49</v>
      </c>
      <c r="D458" t="s">
        <v>208</v>
      </c>
      <c r="E458" s="2">
        <v>45773</v>
      </c>
      <c r="F458" s="2" cm="1">
        <f t="array" ref="F458">_xlfn.IFS(B458="Owner Surrender",E458,B458="Stray",E458+6,B458="Stray w/identification",E458+11,B458="Bite",E458+10,B458="Other",E458+30,B458="BAS",E458+56,B458="Seized",E458)</f>
        <v>45773</v>
      </c>
      <c r="G458" s="2">
        <v>45776</v>
      </c>
      <c r="H458" s="5">
        <f t="shared" si="21"/>
        <v>3</v>
      </c>
      <c r="I458" s="5">
        <f t="shared" si="22"/>
        <v>3</v>
      </c>
      <c r="J458" s="2" t="s">
        <v>31</v>
      </c>
      <c r="K458" s="2" t="s">
        <v>588</v>
      </c>
      <c r="M458" t="s">
        <v>33</v>
      </c>
      <c r="AD458" s="33" t="str">
        <f t="shared" si="23"/>
        <v>Tuesday</v>
      </c>
    </row>
    <row r="459" spans="1:30" x14ac:dyDescent="0.2">
      <c r="A459" s="23">
        <v>40260</v>
      </c>
      <c r="B459" s="2" t="s">
        <v>36</v>
      </c>
      <c r="C459" t="s">
        <v>49</v>
      </c>
      <c r="D459" t="s">
        <v>208</v>
      </c>
      <c r="E459" s="2">
        <v>45773</v>
      </c>
      <c r="F459" s="2" cm="1">
        <f t="array" ref="F459">_xlfn.IFS(B459="Owner Surrender",E459,B459="Stray",E459+6,B459="Stray w/identification",E459+11,B459="Bite",E459+10,B459="Other",E459+30,B459="BAS",E459+56,B459="Seized",E459)</f>
        <v>45773</v>
      </c>
      <c r="G459" s="2">
        <v>45776</v>
      </c>
      <c r="H459" s="5">
        <f t="shared" si="21"/>
        <v>3</v>
      </c>
      <c r="I459" s="5">
        <f t="shared" si="22"/>
        <v>3</v>
      </c>
      <c r="J459" s="2" t="s">
        <v>31</v>
      </c>
      <c r="K459" s="2" t="s">
        <v>587</v>
      </c>
      <c r="AD459" s="33" t="str">
        <f t="shared" si="23"/>
        <v>Tuesday</v>
      </c>
    </row>
    <row r="460" spans="1:30" x14ac:dyDescent="0.2">
      <c r="A460" s="23">
        <v>40261</v>
      </c>
      <c r="B460" s="2" t="s">
        <v>60</v>
      </c>
      <c r="C460" t="s">
        <v>48</v>
      </c>
      <c r="D460" t="s">
        <v>207</v>
      </c>
      <c r="E460" s="2">
        <v>45773</v>
      </c>
      <c r="F460" s="2" cm="1">
        <f t="array" ref="F460">_xlfn.IFS(B460="Owner Surrender",E460,B460="Stray",E460+6,B460="Stray w/identification",E460+11,B460="Bite",E460+10,B460="Other",E460+30,B460="BAS",E460+56,B460="Seized",E460)</f>
        <v>45803</v>
      </c>
      <c r="G460" s="2">
        <v>45783</v>
      </c>
      <c r="H460" s="5">
        <f t="shared" si="21"/>
        <v>10</v>
      </c>
      <c r="I460" s="5">
        <f t="shared" si="22"/>
        <v>-20</v>
      </c>
      <c r="J460" s="2" t="s">
        <v>8</v>
      </c>
      <c r="K460" s="2" t="s">
        <v>586</v>
      </c>
      <c r="AD460" s="33" t="str">
        <f t="shared" si="23"/>
        <v>Tuesday</v>
      </c>
    </row>
    <row r="461" spans="1:30" x14ac:dyDescent="0.2">
      <c r="A461" s="23">
        <v>40262</v>
      </c>
      <c r="B461" s="2" t="s">
        <v>60</v>
      </c>
      <c r="C461" t="s">
        <v>49</v>
      </c>
      <c r="D461" t="s">
        <v>207</v>
      </c>
      <c r="E461" s="2">
        <v>45773</v>
      </c>
      <c r="F461" s="2" cm="1">
        <f t="array" ref="F461">_xlfn.IFS(B461="Owner Surrender",E461,B461="Stray",E461+6,B461="Stray w/identification",E461+11,B461="Bite",E461+10,B461="Other",E461+30,B461="BAS",E461+56,B461="Seized",E461)</f>
        <v>45803</v>
      </c>
      <c r="G461" s="2">
        <v>45793</v>
      </c>
      <c r="H461" s="5">
        <f t="shared" si="21"/>
        <v>20</v>
      </c>
      <c r="I461" s="5">
        <f t="shared" si="22"/>
        <v>-10</v>
      </c>
      <c r="J461" s="2" t="s">
        <v>31</v>
      </c>
      <c r="K461" s="2" t="s">
        <v>587</v>
      </c>
      <c r="AD461" s="33" t="str">
        <f t="shared" si="23"/>
        <v>Friday</v>
      </c>
    </row>
    <row r="462" spans="1:30" x14ac:dyDescent="0.2">
      <c r="A462" s="23">
        <v>40263</v>
      </c>
      <c r="B462" s="2" t="s">
        <v>38</v>
      </c>
      <c r="C462" t="s">
        <v>95</v>
      </c>
      <c r="D462" t="s">
        <v>209</v>
      </c>
      <c r="E462" s="2">
        <v>45774</v>
      </c>
      <c r="F462" s="2" cm="1">
        <f t="array" ref="F462">_xlfn.IFS(B462="Owner Surrender",E462,B462="Stray",E462+6,B462="Stray w/identification",E462+11,B462="Bite",E462+10,B462="Other",E462+30,B462="BAS",E462+56,B462="Seized",E462)</f>
        <v>45780</v>
      </c>
      <c r="G462" s="2">
        <v>45780</v>
      </c>
      <c r="H462" s="5">
        <f t="shared" si="21"/>
        <v>6</v>
      </c>
      <c r="I462" s="5">
        <f t="shared" si="22"/>
        <v>0</v>
      </c>
      <c r="J462" s="2" t="s">
        <v>11</v>
      </c>
      <c r="K462" s="2" t="s">
        <v>586</v>
      </c>
      <c r="AD462" s="33" t="str">
        <f t="shared" si="23"/>
        <v>Saturday</v>
      </c>
    </row>
    <row r="463" spans="1:30" x14ac:dyDescent="0.2">
      <c r="A463" s="23">
        <v>40265</v>
      </c>
      <c r="B463" s="2" t="s">
        <v>38</v>
      </c>
      <c r="C463" t="s">
        <v>49</v>
      </c>
      <c r="D463" t="s">
        <v>207</v>
      </c>
      <c r="E463" s="2">
        <v>45774</v>
      </c>
      <c r="F463" s="2" cm="1">
        <f t="array" ref="F463">_xlfn.IFS(B463="Owner Surrender",E463,B463="Stray",E463+6,B463="Stray w/identification",E463+11,B463="Bite",E463+10,B463="Other",E463+30,B463="BAS",E463+56,B463="Seized",E463)</f>
        <v>45780</v>
      </c>
      <c r="G463" s="2">
        <v>45783</v>
      </c>
      <c r="H463" s="5">
        <f t="shared" si="21"/>
        <v>9</v>
      </c>
      <c r="I463" s="5">
        <f t="shared" si="22"/>
        <v>3</v>
      </c>
      <c r="J463" s="2" t="s">
        <v>31</v>
      </c>
      <c r="K463" s="2" t="s">
        <v>587</v>
      </c>
      <c r="AD463" s="33" t="str">
        <f t="shared" si="23"/>
        <v>Tuesday</v>
      </c>
    </row>
    <row r="464" spans="1:30" x14ac:dyDescent="0.2">
      <c r="A464" s="23">
        <v>40267</v>
      </c>
      <c r="B464" s="2" t="s">
        <v>38</v>
      </c>
      <c r="C464" t="s">
        <v>139</v>
      </c>
      <c r="D464" t="s">
        <v>207</v>
      </c>
      <c r="E464" s="2">
        <v>45776</v>
      </c>
      <c r="F464" s="2" cm="1">
        <f t="array" ref="F464">_xlfn.IFS(B464="Owner Surrender",E464,B464="Stray",E464+6,B464="Stray w/identification",E464+11,B464="Bite",E464+10,B464="Other",E464+30,B464="BAS",E464+56,B464="Seized",E464)</f>
        <v>45782</v>
      </c>
      <c r="G464" s="2">
        <v>45806</v>
      </c>
      <c r="H464" s="5">
        <f t="shared" si="21"/>
        <v>30</v>
      </c>
      <c r="I464" s="5">
        <f t="shared" si="22"/>
        <v>24</v>
      </c>
      <c r="J464" s="2" t="s">
        <v>31</v>
      </c>
      <c r="K464" s="2" t="s">
        <v>588</v>
      </c>
      <c r="M464" t="s">
        <v>529</v>
      </c>
      <c r="AD464" s="33" t="str">
        <f t="shared" si="23"/>
        <v>Thursday</v>
      </c>
    </row>
    <row r="465" spans="1:30" x14ac:dyDescent="0.2">
      <c r="A465" s="23">
        <v>40268</v>
      </c>
      <c r="B465" s="2" t="s">
        <v>36</v>
      </c>
      <c r="C465" t="s">
        <v>139</v>
      </c>
      <c r="D465" t="s">
        <v>207</v>
      </c>
      <c r="E465" s="2">
        <v>45776</v>
      </c>
      <c r="F465" s="2" cm="1">
        <f t="array" ref="F465">_xlfn.IFS(B465="Owner Surrender",E465,B465="Stray",E465+6,B465="Stray w/identification",E465+11,B465="Bite",E465+10,B465="Other",E465+30,B465="BAS",E465+56,B465="Seized",E465)</f>
        <v>45776</v>
      </c>
      <c r="G465" s="2">
        <v>45790</v>
      </c>
      <c r="H465" s="5">
        <f t="shared" si="21"/>
        <v>14</v>
      </c>
      <c r="I465" s="5">
        <f t="shared" si="22"/>
        <v>14</v>
      </c>
      <c r="J465" s="2" t="s">
        <v>31</v>
      </c>
      <c r="K465" s="2" t="s">
        <v>587</v>
      </c>
      <c r="L465" t="s">
        <v>528</v>
      </c>
      <c r="AD465" s="33" t="str">
        <f t="shared" si="23"/>
        <v>Tuesday</v>
      </c>
    </row>
    <row r="466" spans="1:30" x14ac:dyDescent="0.2">
      <c r="A466" s="23">
        <v>40271</v>
      </c>
      <c r="B466" s="2" t="s">
        <v>38</v>
      </c>
      <c r="C466" t="s">
        <v>48</v>
      </c>
      <c r="D466" t="s">
        <v>210</v>
      </c>
      <c r="E466" s="2">
        <v>45776</v>
      </c>
      <c r="F466" s="2" cm="1">
        <f t="array" ref="F466">_xlfn.IFS(B466="Owner Surrender",E466,B466="Stray",E466+6,B466="Stray w/identification",E466+11,B466="Bite",E466+10,B466="Other",E466+30,B466="BAS",E466+56,B466="Seized",E466)</f>
        <v>45782</v>
      </c>
      <c r="G466" s="2">
        <v>45776</v>
      </c>
      <c r="H466" s="5">
        <f t="shared" si="21"/>
        <v>0</v>
      </c>
      <c r="I466" s="5">
        <f t="shared" si="22"/>
        <v>-6</v>
      </c>
      <c r="J466" s="2" t="s">
        <v>8</v>
      </c>
      <c r="K466" s="2" t="s">
        <v>586</v>
      </c>
      <c r="AD466" s="33" t="str">
        <f t="shared" si="23"/>
        <v>Tuesday</v>
      </c>
    </row>
    <row r="467" spans="1:30" x14ac:dyDescent="0.2">
      <c r="A467" s="23">
        <v>40272</v>
      </c>
      <c r="B467" s="2" t="s">
        <v>36</v>
      </c>
      <c r="C467" t="s">
        <v>527</v>
      </c>
      <c r="D467" t="s">
        <v>207</v>
      </c>
      <c r="E467" s="2">
        <v>45776</v>
      </c>
      <c r="F467" s="2" cm="1">
        <f t="array" ref="F467">_xlfn.IFS(B467="Owner Surrender",E467,B467="Stray",E467+6,B467="Stray w/identification",E467+11,B467="Bite",E467+10,B467="Other",E467+30,B467="BAS",E467+56,B467="Seized",E467)</f>
        <v>45776</v>
      </c>
      <c r="G467" s="2">
        <v>45779</v>
      </c>
      <c r="H467" s="5">
        <f t="shared" si="21"/>
        <v>3</v>
      </c>
      <c r="I467" s="5">
        <f t="shared" si="22"/>
        <v>3</v>
      </c>
      <c r="J467" s="2" t="s">
        <v>31</v>
      </c>
      <c r="K467" s="2" t="s">
        <v>587</v>
      </c>
      <c r="AD467" s="33" t="str">
        <f t="shared" si="23"/>
        <v>Friday</v>
      </c>
    </row>
    <row r="468" spans="1:30" x14ac:dyDescent="0.2">
      <c r="A468" s="23">
        <v>40273</v>
      </c>
      <c r="B468" s="2" t="s">
        <v>41</v>
      </c>
      <c r="C468" t="s">
        <v>49</v>
      </c>
      <c r="D468" t="s">
        <v>207</v>
      </c>
      <c r="E468" s="2">
        <v>45776</v>
      </c>
      <c r="F468" s="2" cm="1">
        <f t="array" ref="F468">_xlfn.IFS(B468="Owner Surrender",E468,B468="Stray",E468+6,B468="Stray w/identification",E468+11,B468="Bite",E468+10,B468="Other",E468+30,B468="BAS",E468+56,B468="Seized",E468)</f>
        <v>45786</v>
      </c>
      <c r="G468" s="2">
        <v>45862</v>
      </c>
      <c r="H468" s="5">
        <f t="shared" si="21"/>
        <v>86</v>
      </c>
      <c r="I468" s="5">
        <f t="shared" si="22"/>
        <v>76</v>
      </c>
      <c r="J468" s="2" t="s">
        <v>8</v>
      </c>
      <c r="K468" s="2" t="s">
        <v>586</v>
      </c>
      <c r="AD468" s="33" t="str">
        <f t="shared" si="23"/>
        <v>Thursday</v>
      </c>
    </row>
    <row r="469" spans="1:30" x14ac:dyDescent="0.2">
      <c r="A469" s="23">
        <v>40274</v>
      </c>
      <c r="B469" s="2" t="s">
        <v>36</v>
      </c>
      <c r="C469" t="s">
        <v>148</v>
      </c>
      <c r="D469" t="s">
        <v>209</v>
      </c>
      <c r="E469" s="2">
        <v>45776</v>
      </c>
      <c r="F469" s="2" cm="1">
        <f t="array" ref="F469">_xlfn.IFS(B469="Owner Surrender",E469,B469="Stray",E469+6,B469="Stray w/identification",E469+11,B469="Bite",E469+10,B469="Other",E469+30,B469="BAS",E469+56,B469="Seized",E469)</f>
        <v>45776</v>
      </c>
      <c r="G469" s="2">
        <v>45783</v>
      </c>
      <c r="H469" s="5">
        <f t="shared" si="21"/>
        <v>7</v>
      </c>
      <c r="I469" s="5">
        <f t="shared" si="22"/>
        <v>7</v>
      </c>
      <c r="J469" s="2" t="s">
        <v>31</v>
      </c>
      <c r="K469" s="2" t="s">
        <v>587</v>
      </c>
      <c r="AD469" s="33" t="str">
        <f t="shared" si="23"/>
        <v>Tuesday</v>
      </c>
    </row>
    <row r="470" spans="1:30" x14ac:dyDescent="0.2">
      <c r="A470" s="23">
        <v>40282</v>
      </c>
      <c r="B470" s="2" t="s">
        <v>179</v>
      </c>
      <c r="C470" t="s">
        <v>49</v>
      </c>
      <c r="D470" t="s">
        <v>207</v>
      </c>
      <c r="E470" s="2">
        <v>45779</v>
      </c>
      <c r="F470" s="2" cm="1">
        <f t="array" ref="F470">_xlfn.IFS(B470="Owner Surrender",E470,B470="Stray",E470+6,B470="Stray w/identification",E470+11,B470="Bite",E470+10,B470="Other",E470+30,B470="BAS",E470+56,B470="Seized",E470)</f>
        <v>45790</v>
      </c>
      <c r="G470" s="2">
        <v>45797</v>
      </c>
      <c r="H470" s="5">
        <f t="shared" si="21"/>
        <v>18</v>
      </c>
      <c r="I470" s="5">
        <f t="shared" si="22"/>
        <v>7</v>
      </c>
      <c r="J470" s="2" t="s">
        <v>18</v>
      </c>
      <c r="K470" s="2" t="s">
        <v>586</v>
      </c>
      <c r="L470" t="s">
        <v>549</v>
      </c>
      <c r="AD470" s="33" t="str">
        <f t="shared" si="23"/>
        <v>Tuesday</v>
      </c>
    </row>
    <row r="471" spans="1:30" x14ac:dyDescent="0.2">
      <c r="A471" s="23">
        <v>40283</v>
      </c>
      <c r="B471" s="2" t="s">
        <v>36</v>
      </c>
      <c r="C471" t="s">
        <v>75</v>
      </c>
      <c r="D471" t="s">
        <v>207</v>
      </c>
      <c r="E471" s="2">
        <v>45779</v>
      </c>
      <c r="F471" s="2" cm="1">
        <f t="array" ref="F471">_xlfn.IFS(B471="Owner Surrender",E471,B471="Stray",E471+6,B471="Stray w/identification",E471+11,B471="Bite",E471+10,B471="Other",E471+30,B471="BAS",E471+56,B471="Seized",E471)</f>
        <v>45779</v>
      </c>
      <c r="G471" s="2">
        <v>45797</v>
      </c>
      <c r="H471" s="5">
        <f t="shared" si="21"/>
        <v>18</v>
      </c>
      <c r="I471" s="5">
        <f t="shared" si="22"/>
        <v>18</v>
      </c>
      <c r="J471" s="2" t="s">
        <v>31</v>
      </c>
      <c r="K471" s="2" t="s">
        <v>587</v>
      </c>
      <c r="AD471" s="33" t="str">
        <f t="shared" si="23"/>
        <v>Tuesday</v>
      </c>
    </row>
    <row r="472" spans="1:30" x14ac:dyDescent="0.2">
      <c r="A472" s="23">
        <v>40306</v>
      </c>
      <c r="B472" s="2" t="s">
        <v>38</v>
      </c>
      <c r="C472" t="s">
        <v>49</v>
      </c>
      <c r="D472" t="s">
        <v>209</v>
      </c>
      <c r="E472" s="2">
        <v>45781</v>
      </c>
      <c r="F472" s="2" cm="1">
        <f t="array" ref="F472">_xlfn.IFS(B472="Owner Surrender",E472,B472="Stray",E472+6,B472="Stray w/identification",E472+11,B472="Bite",E472+10,B472="Other",E472+30,B472="BAS",E472+56,B472="Seized",E472)</f>
        <v>45787</v>
      </c>
      <c r="G472" s="2">
        <v>45782</v>
      </c>
      <c r="H472" s="5">
        <f t="shared" si="21"/>
        <v>1</v>
      </c>
      <c r="I472" s="5">
        <f t="shared" si="22"/>
        <v>-5</v>
      </c>
      <c r="J472" s="2" t="s">
        <v>31</v>
      </c>
      <c r="K472" s="2" t="s">
        <v>588</v>
      </c>
      <c r="M472" t="s">
        <v>33</v>
      </c>
      <c r="AD472" s="33" t="str">
        <f t="shared" si="23"/>
        <v>Monday</v>
      </c>
    </row>
    <row r="473" spans="1:30" x14ac:dyDescent="0.2">
      <c r="A473" s="23">
        <v>40309</v>
      </c>
      <c r="B473" s="2" t="s">
        <v>38</v>
      </c>
      <c r="C473" t="s">
        <v>70</v>
      </c>
      <c r="D473" t="s">
        <v>208</v>
      </c>
      <c r="E473" s="2">
        <v>45780</v>
      </c>
      <c r="F473" s="2" cm="1">
        <f t="array" ref="F473">_xlfn.IFS(B473="Owner Surrender",E473,B473="Stray",E473+6,B473="Stray w/identification",E473+11,B473="Bite",E473+10,B473="Other",E473+30,B473="BAS",E473+56,B473="Seized",E473)</f>
        <v>45786</v>
      </c>
      <c r="G473" s="2">
        <v>45792</v>
      </c>
      <c r="H473" s="5">
        <f t="shared" si="21"/>
        <v>12</v>
      </c>
      <c r="I473" s="5">
        <f t="shared" si="22"/>
        <v>6</v>
      </c>
      <c r="J473" s="2" t="s">
        <v>31</v>
      </c>
      <c r="K473" s="2" t="s">
        <v>587</v>
      </c>
      <c r="L473" t="s">
        <v>548</v>
      </c>
      <c r="AD473" s="33" t="str">
        <f t="shared" si="23"/>
        <v>Thursday</v>
      </c>
    </row>
    <row r="474" spans="1:30" x14ac:dyDescent="0.2">
      <c r="A474" s="23">
        <v>40310</v>
      </c>
      <c r="B474" s="2" t="s">
        <v>179</v>
      </c>
      <c r="C474" t="s">
        <v>49</v>
      </c>
      <c r="D474" t="s">
        <v>207</v>
      </c>
      <c r="E474" s="2">
        <v>45782</v>
      </c>
      <c r="F474" s="2" cm="1">
        <f t="array" ref="F474">_xlfn.IFS(B474="Owner Surrender",E474,B474="Stray",E474+6,B474="Stray w/identification",E474+11,B474="Bite",E474+10,B474="Other",E474+30,B474="BAS",E474+56,B474="Seized",E474)</f>
        <v>45793</v>
      </c>
      <c r="G474" s="2">
        <v>45783</v>
      </c>
      <c r="H474" s="5">
        <f t="shared" si="21"/>
        <v>1</v>
      </c>
      <c r="I474" s="5">
        <f t="shared" si="22"/>
        <v>-10</v>
      </c>
      <c r="J474" s="2" t="s">
        <v>8</v>
      </c>
      <c r="K474" s="2" t="s">
        <v>586</v>
      </c>
      <c r="AD474" s="33" t="str">
        <f t="shared" si="23"/>
        <v>Tuesday</v>
      </c>
    </row>
    <row r="475" spans="1:30" x14ac:dyDescent="0.2">
      <c r="A475" s="23">
        <v>40315</v>
      </c>
      <c r="B475" s="2" t="s">
        <v>179</v>
      </c>
      <c r="C475" t="s">
        <v>71</v>
      </c>
      <c r="D475" t="s">
        <v>207</v>
      </c>
      <c r="E475" s="2">
        <v>45782</v>
      </c>
      <c r="F475" s="2" cm="1">
        <f t="array" ref="F475">_xlfn.IFS(B475="Owner Surrender",E475,B475="Stray",E475+6,B475="Stray w/identification",E475+11,B475="Bite",E475+10,B475="Other",E475+30,B475="BAS",E475+56,B475="Seized",E475)</f>
        <v>45793</v>
      </c>
      <c r="G475" s="2">
        <v>45782</v>
      </c>
      <c r="H475" s="5">
        <f t="shared" si="21"/>
        <v>0</v>
      </c>
      <c r="I475" s="5">
        <f t="shared" si="22"/>
        <v>-11</v>
      </c>
      <c r="J475" s="2" t="s">
        <v>8</v>
      </c>
      <c r="K475" s="2" t="s">
        <v>586</v>
      </c>
      <c r="AD475" s="33" t="str">
        <f t="shared" si="23"/>
        <v>Monday</v>
      </c>
    </row>
    <row r="476" spans="1:30" x14ac:dyDescent="0.2">
      <c r="A476" s="23">
        <v>40328</v>
      </c>
      <c r="B476" s="2" t="s">
        <v>179</v>
      </c>
      <c r="C476" t="s">
        <v>488</v>
      </c>
      <c r="D476" t="s">
        <v>207</v>
      </c>
      <c r="E476" s="2">
        <v>45782</v>
      </c>
      <c r="F476" s="2" cm="1">
        <f t="array" ref="F476">_xlfn.IFS(B476="Owner Surrender",E476,B476="Stray",E476+6,B476="Stray w/identification",E476+11,B476="Bite",E476+10,B476="Other",E476+30,B476="BAS",E476+56,B476="Seized",E476)</f>
        <v>45793</v>
      </c>
      <c r="G476" s="2">
        <v>45797</v>
      </c>
      <c r="H476" s="5">
        <f t="shared" si="21"/>
        <v>15</v>
      </c>
      <c r="I476" s="5">
        <f t="shared" si="22"/>
        <v>4</v>
      </c>
      <c r="J476" s="2" t="s">
        <v>18</v>
      </c>
      <c r="K476" s="2" t="s">
        <v>586</v>
      </c>
      <c r="AD476" s="33" t="str">
        <f t="shared" si="23"/>
        <v>Tuesday</v>
      </c>
    </row>
    <row r="477" spans="1:30" x14ac:dyDescent="0.2">
      <c r="A477" s="23">
        <v>40329</v>
      </c>
      <c r="B477" s="2" t="s">
        <v>36</v>
      </c>
      <c r="C477" t="s">
        <v>55</v>
      </c>
      <c r="D477" t="s">
        <v>207</v>
      </c>
      <c r="E477" s="2">
        <v>45783</v>
      </c>
      <c r="F477" s="2" cm="1">
        <f t="array" ref="F477">_xlfn.IFS(B477="Owner Surrender",E477,B477="Stray",E477+6,B477="Stray w/identification",E477+11,B477="Bite",E477+10,B477="Other",E477+30,B477="BAS",E477+56,B477="Seized",E477)</f>
        <v>45783</v>
      </c>
      <c r="G477" s="2">
        <v>45785</v>
      </c>
      <c r="H477" s="5">
        <f t="shared" si="21"/>
        <v>2</v>
      </c>
      <c r="I477" s="5">
        <f t="shared" si="22"/>
        <v>2</v>
      </c>
      <c r="J477" s="2" t="s">
        <v>31</v>
      </c>
      <c r="K477" s="2" t="s">
        <v>587</v>
      </c>
      <c r="AD477" s="33" t="str">
        <f t="shared" si="23"/>
        <v>Thursday</v>
      </c>
    </row>
    <row r="478" spans="1:30" x14ac:dyDescent="0.2">
      <c r="A478" s="23">
        <v>40330</v>
      </c>
      <c r="B478" s="2" t="s">
        <v>179</v>
      </c>
      <c r="C478" t="s">
        <v>49</v>
      </c>
      <c r="D478" t="s">
        <v>207</v>
      </c>
      <c r="E478" s="2">
        <v>45783</v>
      </c>
      <c r="F478" s="2" cm="1">
        <f t="array" ref="F478">_xlfn.IFS(B478="Owner Surrender",E478,B478="Stray",E478+6,B478="Stray w/identification",E478+11,B478="Bite",E478+10,B478="Other",E478+30,B478="BAS",E478+56,B478="Seized",E478)</f>
        <v>45794</v>
      </c>
      <c r="G478" s="2">
        <v>45783</v>
      </c>
      <c r="H478" s="5">
        <f t="shared" si="21"/>
        <v>0</v>
      </c>
      <c r="I478" s="5">
        <f t="shared" si="22"/>
        <v>-11</v>
      </c>
      <c r="J478" s="2" t="s">
        <v>8</v>
      </c>
      <c r="K478" s="2" t="s">
        <v>586</v>
      </c>
      <c r="AD478" s="33" t="str">
        <f t="shared" si="23"/>
        <v>Tuesday</v>
      </c>
    </row>
    <row r="479" spans="1:30" x14ac:dyDescent="0.2">
      <c r="A479" s="23">
        <v>40331</v>
      </c>
      <c r="B479" s="2" t="s">
        <v>38</v>
      </c>
      <c r="C479" t="s">
        <v>50</v>
      </c>
      <c r="D479" t="s">
        <v>207</v>
      </c>
      <c r="E479" s="2">
        <v>45783</v>
      </c>
      <c r="F479" s="2" cm="1">
        <f t="array" ref="F479">_xlfn.IFS(B479="Owner Surrender",E479,B479="Stray",E479+6,B479="Stray w/identification",E479+11,B479="Bite",E479+10,B479="Other",E479+30,B479="BAS",E479+56,B479="Seized",E479)</f>
        <v>45789</v>
      </c>
      <c r="G479" s="2">
        <v>45783</v>
      </c>
      <c r="H479" s="5">
        <f t="shared" si="21"/>
        <v>0</v>
      </c>
      <c r="I479" s="5">
        <f t="shared" si="22"/>
        <v>-6</v>
      </c>
      <c r="J479" s="2" t="s">
        <v>8</v>
      </c>
      <c r="K479" s="2" t="s">
        <v>586</v>
      </c>
      <c r="AD479" s="33" t="str">
        <f t="shared" si="23"/>
        <v>Tuesday</v>
      </c>
    </row>
    <row r="480" spans="1:30" x14ac:dyDescent="0.2">
      <c r="A480" s="23">
        <v>40332</v>
      </c>
      <c r="B480" s="2" t="s">
        <v>36</v>
      </c>
      <c r="C480" t="s">
        <v>49</v>
      </c>
      <c r="D480" t="s">
        <v>207</v>
      </c>
      <c r="E480" s="2">
        <v>45783</v>
      </c>
      <c r="F480" s="2" cm="1">
        <f t="array" ref="F480">_xlfn.IFS(B480="Owner Surrender",E480,B480="Stray",E480+6,B480="Stray w/identification",E480+11,B480="Bite",E480+10,B480="Other",E480+30,B480="BAS",E480+56,B480="Seized",E480)</f>
        <v>45783</v>
      </c>
      <c r="G480" s="2">
        <v>45797</v>
      </c>
      <c r="H480" s="5">
        <f t="shared" si="21"/>
        <v>14</v>
      </c>
      <c r="I480" s="5">
        <f t="shared" si="22"/>
        <v>14</v>
      </c>
      <c r="J480" s="2" t="s">
        <v>31</v>
      </c>
      <c r="K480" s="2" t="s">
        <v>587</v>
      </c>
      <c r="AD480" s="33" t="str">
        <f t="shared" si="23"/>
        <v>Tuesday</v>
      </c>
    </row>
    <row r="481" spans="1:30" x14ac:dyDescent="0.2">
      <c r="A481" s="23">
        <v>40334</v>
      </c>
      <c r="B481" s="2" t="s">
        <v>36</v>
      </c>
      <c r="C481" t="s">
        <v>48</v>
      </c>
      <c r="D481" t="s">
        <v>207</v>
      </c>
      <c r="E481" s="2">
        <v>45783</v>
      </c>
      <c r="F481" s="2" cm="1">
        <f t="array" ref="F481">_xlfn.IFS(B481="Owner Surrender",E481,B481="Stray",E481+6,B481="Stray w/identification",E481+11,B481="Bite",E481+10,B481="Other",E481+30,B481="BAS",E481+56,B481="Seized",E481)</f>
        <v>45783</v>
      </c>
      <c r="G481" s="2">
        <v>45785</v>
      </c>
      <c r="H481" s="5">
        <f t="shared" si="21"/>
        <v>2</v>
      </c>
      <c r="I481" s="5">
        <f t="shared" si="22"/>
        <v>2</v>
      </c>
      <c r="J481" s="2" t="s">
        <v>31</v>
      </c>
      <c r="K481" s="2" t="s">
        <v>587</v>
      </c>
      <c r="AD481" s="33" t="str">
        <f t="shared" si="23"/>
        <v>Thursday</v>
      </c>
    </row>
    <row r="482" spans="1:30" x14ac:dyDescent="0.2">
      <c r="A482" s="23">
        <v>40335</v>
      </c>
      <c r="B482" s="2" t="s">
        <v>179</v>
      </c>
      <c r="C482" t="s">
        <v>108</v>
      </c>
      <c r="D482" t="s">
        <v>207</v>
      </c>
      <c r="E482" s="2">
        <v>45784</v>
      </c>
      <c r="F482" s="2" cm="1">
        <f t="array" ref="F482">_xlfn.IFS(B482="Owner Surrender",E482,B482="Stray",E482+6,B482="Stray w/identification",E482+11,B482="Bite",E482+10,B482="Other",E482+30,B482="BAS",E482+56,B482="Seized",E482)</f>
        <v>45795</v>
      </c>
      <c r="G482" s="2">
        <v>45785</v>
      </c>
      <c r="H482" s="5">
        <f t="shared" si="21"/>
        <v>1</v>
      </c>
      <c r="I482" s="5">
        <f t="shared" si="22"/>
        <v>-10</v>
      </c>
      <c r="J482" s="2" t="s">
        <v>8</v>
      </c>
      <c r="K482" s="2" t="s">
        <v>586</v>
      </c>
      <c r="AD482" s="33" t="str">
        <f t="shared" si="23"/>
        <v>Thursday</v>
      </c>
    </row>
    <row r="483" spans="1:30" x14ac:dyDescent="0.2">
      <c r="A483" s="23">
        <v>40336</v>
      </c>
      <c r="B483" s="2" t="s">
        <v>179</v>
      </c>
      <c r="C483" t="s">
        <v>108</v>
      </c>
      <c r="D483" t="s">
        <v>209</v>
      </c>
      <c r="E483" s="2">
        <v>45784</v>
      </c>
      <c r="F483" s="2" cm="1">
        <f t="array" ref="F483">_xlfn.IFS(B483="Owner Surrender",E483,B483="Stray",E483+6,B483="Stray w/identification",E483+11,B483="Bite",E483+10,B483="Other",E483+30,B483="BAS",E483+56,B483="Seized",E483)</f>
        <v>45795</v>
      </c>
      <c r="G483" s="2">
        <v>45785</v>
      </c>
      <c r="H483" s="5">
        <f t="shared" si="21"/>
        <v>1</v>
      </c>
      <c r="I483" s="5">
        <f t="shared" si="22"/>
        <v>-10</v>
      </c>
      <c r="J483" s="2" t="s">
        <v>8</v>
      </c>
      <c r="K483" s="2" t="s">
        <v>586</v>
      </c>
      <c r="AD483" s="33" t="str">
        <f t="shared" si="23"/>
        <v>Thursday</v>
      </c>
    </row>
    <row r="484" spans="1:30" x14ac:dyDescent="0.2">
      <c r="A484" s="23">
        <v>40342</v>
      </c>
      <c r="B484" s="2" t="s">
        <v>38</v>
      </c>
      <c r="C484" t="s">
        <v>49</v>
      </c>
      <c r="D484" t="s">
        <v>207</v>
      </c>
      <c r="E484" s="2">
        <v>45784</v>
      </c>
      <c r="F484" s="2" cm="1">
        <f t="array" ref="F484">_xlfn.IFS(B484="Owner Surrender",E484,B484="Stray",E484+6,B484="Stray w/identification",E484+11,B484="Bite",E484+10,B484="Other",E484+30,B484="BAS",E484+56,B484="Seized",E484)</f>
        <v>45790</v>
      </c>
      <c r="G484" s="2">
        <v>45797</v>
      </c>
      <c r="H484" s="5">
        <f t="shared" si="21"/>
        <v>13</v>
      </c>
      <c r="I484" s="5">
        <f t="shared" si="22"/>
        <v>7</v>
      </c>
      <c r="J484" s="2" t="s">
        <v>31</v>
      </c>
      <c r="K484" s="2" t="s">
        <v>587</v>
      </c>
      <c r="AD484" s="33" t="str">
        <f t="shared" si="23"/>
        <v>Tuesday</v>
      </c>
    </row>
    <row r="485" spans="1:30" x14ac:dyDescent="0.2">
      <c r="A485" s="23">
        <v>40349</v>
      </c>
      <c r="B485" s="2" t="s">
        <v>36</v>
      </c>
      <c r="C485" t="s">
        <v>49</v>
      </c>
      <c r="D485" t="s">
        <v>207</v>
      </c>
      <c r="E485" s="2">
        <v>45784</v>
      </c>
      <c r="F485" s="2" cm="1">
        <f t="array" ref="F485">_xlfn.IFS(B485="Owner Surrender",E485,B485="Stray",E485+6,B485="Stray w/identification",E485+11,B485="Bite",E485+10,B485="Other",E485+30,B485="BAS",E485+56,B485="Seized",E485)</f>
        <v>45784</v>
      </c>
      <c r="G485" s="2">
        <v>45790</v>
      </c>
      <c r="H485" s="5">
        <f t="shared" si="21"/>
        <v>6</v>
      </c>
      <c r="I485" s="5">
        <f t="shared" si="22"/>
        <v>6</v>
      </c>
      <c r="J485" s="2" t="s">
        <v>31</v>
      </c>
      <c r="K485" s="2" t="s">
        <v>587</v>
      </c>
      <c r="AD485" s="33" t="str">
        <f t="shared" si="23"/>
        <v>Tuesday</v>
      </c>
    </row>
    <row r="486" spans="1:30" x14ac:dyDescent="0.2">
      <c r="A486" s="23">
        <v>40351</v>
      </c>
      <c r="B486" s="2" t="s">
        <v>36</v>
      </c>
      <c r="C486" t="s">
        <v>48</v>
      </c>
      <c r="D486" t="s">
        <v>207</v>
      </c>
      <c r="E486" s="2">
        <v>45784</v>
      </c>
      <c r="F486" s="2" cm="1">
        <f t="array" ref="F486">_xlfn.IFS(B486="Owner Surrender",E486,B486="Stray",E486+6,B486="Stray w/identification",E486+11,B486="Bite",E486+10,B486="Other",E486+30,B486="BAS",E486+56,B486="Seized",E486)</f>
        <v>45784</v>
      </c>
      <c r="G486" s="2">
        <v>45790</v>
      </c>
      <c r="H486" s="5">
        <f t="shared" si="21"/>
        <v>6</v>
      </c>
      <c r="I486" s="5">
        <f t="shared" si="22"/>
        <v>6</v>
      </c>
      <c r="J486" s="2" t="s">
        <v>31</v>
      </c>
      <c r="K486" s="2" t="s">
        <v>587</v>
      </c>
      <c r="L486" t="s">
        <v>547</v>
      </c>
      <c r="AD486" s="33" t="str">
        <f t="shared" si="23"/>
        <v>Tuesday</v>
      </c>
    </row>
    <row r="487" spans="1:30" x14ac:dyDescent="0.2">
      <c r="A487" s="23">
        <v>40352</v>
      </c>
      <c r="B487" s="2" t="s">
        <v>179</v>
      </c>
      <c r="C487" t="s">
        <v>420</v>
      </c>
      <c r="D487" t="s">
        <v>209</v>
      </c>
      <c r="E487" s="2">
        <v>45784</v>
      </c>
      <c r="F487" s="2" cm="1">
        <f t="array" ref="F487">_xlfn.IFS(B487="Owner Surrender",E487,B487="Stray",E487+6,B487="Stray w/identification",E487+11,B487="Bite",E487+10,B487="Other",E487+30,B487="BAS",E487+56,B487="Seized",E487)</f>
        <v>45795</v>
      </c>
      <c r="G487" s="2">
        <v>45805</v>
      </c>
      <c r="H487" s="5">
        <f t="shared" si="21"/>
        <v>21</v>
      </c>
      <c r="I487" s="5">
        <f t="shared" si="22"/>
        <v>10</v>
      </c>
      <c r="J487" s="2" t="s">
        <v>31</v>
      </c>
      <c r="K487" s="2" t="s">
        <v>587</v>
      </c>
      <c r="AD487" s="33" t="str">
        <f t="shared" si="23"/>
        <v>Wednesday</v>
      </c>
    </row>
    <row r="488" spans="1:30" x14ac:dyDescent="0.2">
      <c r="A488" s="23">
        <v>40353</v>
      </c>
      <c r="B488" s="2" t="s">
        <v>36</v>
      </c>
      <c r="C488" t="s">
        <v>49</v>
      </c>
      <c r="D488" t="s">
        <v>208</v>
      </c>
      <c r="E488" s="2">
        <v>45785</v>
      </c>
      <c r="F488" s="2" cm="1">
        <f t="array" ref="F488">_xlfn.IFS(B488="Owner Surrender",E488,B488="Stray",E488+6,B488="Stray w/identification",E488+11,B488="Bite",E488+10,B488="Other",E488+30,B488="BAS",E488+56,B488="Seized",E488)</f>
        <v>45785</v>
      </c>
      <c r="G488" s="2">
        <v>45854</v>
      </c>
      <c r="H488" s="5">
        <f t="shared" si="21"/>
        <v>69</v>
      </c>
      <c r="I488" s="5">
        <f t="shared" si="22"/>
        <v>69</v>
      </c>
      <c r="J488" s="2" t="s">
        <v>11</v>
      </c>
      <c r="K488" s="2" t="s">
        <v>586</v>
      </c>
      <c r="AD488" s="33" t="str">
        <f t="shared" si="23"/>
        <v>Wednesday</v>
      </c>
    </row>
    <row r="489" spans="1:30" x14ac:dyDescent="0.2">
      <c r="A489" s="23">
        <v>40354</v>
      </c>
      <c r="B489" s="2" t="s">
        <v>36</v>
      </c>
      <c r="C489" t="s">
        <v>49</v>
      </c>
      <c r="D489" t="s">
        <v>208</v>
      </c>
      <c r="E489" s="2">
        <v>45785</v>
      </c>
      <c r="F489" s="2" cm="1">
        <f t="array" ref="F489">_xlfn.IFS(B489="Owner Surrender",E489,B489="Stray",E489+6,B489="Stray w/identification",E489+11,B489="Bite",E489+10,B489="Other",E489+30,B489="BAS",E489+56,B489="Seized",E489)</f>
        <v>45785</v>
      </c>
      <c r="G489" s="2">
        <v>45859</v>
      </c>
      <c r="H489" s="5">
        <f t="shared" si="21"/>
        <v>74</v>
      </c>
      <c r="I489" s="5">
        <f t="shared" si="22"/>
        <v>74</v>
      </c>
      <c r="J489" s="2" t="s">
        <v>18</v>
      </c>
      <c r="K489" s="2" t="s">
        <v>586</v>
      </c>
      <c r="L489" t="s">
        <v>546</v>
      </c>
      <c r="M489" t="s">
        <v>84</v>
      </c>
      <c r="AD489" s="33" t="str">
        <f t="shared" si="23"/>
        <v>Monday</v>
      </c>
    </row>
    <row r="490" spans="1:30" x14ac:dyDescent="0.2">
      <c r="A490" s="23">
        <v>40355</v>
      </c>
      <c r="B490" s="2" t="s">
        <v>36</v>
      </c>
      <c r="C490" t="s">
        <v>75</v>
      </c>
      <c r="D490" t="s">
        <v>207</v>
      </c>
      <c r="E490" s="2">
        <v>45785</v>
      </c>
      <c r="F490" s="2" cm="1">
        <f t="array" ref="F490">_xlfn.IFS(B490="Owner Surrender",E490,B490="Stray",E490+6,B490="Stray w/identification",E490+11,B490="Bite",E490+10,B490="Other",E490+30,B490="BAS",E490+56,B490="Seized",E490)</f>
        <v>45785</v>
      </c>
      <c r="G490" s="2">
        <v>45797</v>
      </c>
      <c r="H490" s="5">
        <f t="shared" si="21"/>
        <v>12</v>
      </c>
      <c r="I490" s="5">
        <f t="shared" si="22"/>
        <v>12</v>
      </c>
      <c r="J490" s="2" t="s">
        <v>31</v>
      </c>
      <c r="K490" s="2" t="s">
        <v>587</v>
      </c>
      <c r="AD490" s="33" t="str">
        <f t="shared" si="23"/>
        <v>Tuesday</v>
      </c>
    </row>
    <row r="491" spans="1:30" x14ac:dyDescent="0.2">
      <c r="A491" s="23">
        <v>40356</v>
      </c>
      <c r="B491" s="2" t="s">
        <v>38</v>
      </c>
      <c r="C491" t="s">
        <v>49</v>
      </c>
      <c r="D491" t="s">
        <v>207</v>
      </c>
      <c r="E491" s="2">
        <v>45785</v>
      </c>
      <c r="F491" s="2" cm="1">
        <f t="array" ref="F491">_xlfn.IFS(B491="Owner Surrender",E491,B491="Stray",E491+6,B491="Stray w/identification",E491+11,B491="Bite",E491+10,B491="Other",E491+30,B491="BAS",E491+56,B491="Seized",E491)</f>
        <v>45791</v>
      </c>
      <c r="G491" s="2">
        <v>45789</v>
      </c>
      <c r="H491" s="5">
        <f t="shared" si="21"/>
        <v>4</v>
      </c>
      <c r="I491" s="5">
        <f t="shared" si="22"/>
        <v>-2</v>
      </c>
      <c r="J491" s="2" t="s">
        <v>8</v>
      </c>
      <c r="K491" s="2" t="s">
        <v>586</v>
      </c>
      <c r="AD491" s="33" t="str">
        <f t="shared" si="23"/>
        <v>Monday</v>
      </c>
    </row>
    <row r="492" spans="1:30" x14ac:dyDescent="0.2">
      <c r="A492" s="23">
        <v>40357</v>
      </c>
      <c r="B492" s="2" t="s">
        <v>38</v>
      </c>
      <c r="C492" t="s">
        <v>49</v>
      </c>
      <c r="D492" t="s">
        <v>207</v>
      </c>
      <c r="E492" s="2">
        <v>45785</v>
      </c>
      <c r="F492" s="2" cm="1">
        <f t="array" ref="F492">_xlfn.IFS(B492="Owner Surrender",E492,B492="Stray",E492+6,B492="Stray w/identification",E492+11,B492="Bite",E492+10,B492="Other",E492+30,B492="BAS",E492+56,B492="Seized",E492)</f>
        <v>45791</v>
      </c>
      <c r="G492" s="2">
        <v>45785</v>
      </c>
      <c r="H492" s="5">
        <f t="shared" si="21"/>
        <v>0</v>
      </c>
      <c r="I492" s="5">
        <f t="shared" si="22"/>
        <v>-6</v>
      </c>
      <c r="J492" s="2" t="s">
        <v>8</v>
      </c>
      <c r="K492" s="2" t="s">
        <v>586</v>
      </c>
      <c r="AD492" s="33" t="str">
        <f t="shared" si="23"/>
        <v>Thursday</v>
      </c>
    </row>
    <row r="493" spans="1:30" x14ac:dyDescent="0.2">
      <c r="A493" s="23">
        <v>40358</v>
      </c>
      <c r="B493" s="2" t="s">
        <v>36</v>
      </c>
      <c r="C493" t="s">
        <v>512</v>
      </c>
      <c r="D493" t="s">
        <v>208</v>
      </c>
      <c r="E493" s="2">
        <v>45785</v>
      </c>
      <c r="F493" s="2" cm="1">
        <f t="array" ref="F493">_xlfn.IFS(B493="Owner Surrender",E493,B493="Stray",E493+6,B493="Stray w/identification",E493+11,B493="Bite",E493+10,B493="Other",E493+30,B493="BAS",E493+56,B493="Seized",E493)</f>
        <v>45785</v>
      </c>
      <c r="G493" s="2">
        <v>45805</v>
      </c>
      <c r="H493" s="5">
        <f t="shared" si="21"/>
        <v>20</v>
      </c>
      <c r="I493" s="5">
        <f t="shared" si="22"/>
        <v>20</v>
      </c>
      <c r="J493" s="2" t="s">
        <v>31</v>
      </c>
      <c r="K493" s="2" t="s">
        <v>587</v>
      </c>
      <c r="AD493" s="33" t="str">
        <f t="shared" si="23"/>
        <v>Wednesday</v>
      </c>
    </row>
    <row r="494" spans="1:30" x14ac:dyDescent="0.2">
      <c r="A494" s="23">
        <v>40359</v>
      </c>
      <c r="B494" s="2" t="s">
        <v>36</v>
      </c>
      <c r="C494" t="s">
        <v>108</v>
      </c>
      <c r="D494" t="s">
        <v>207</v>
      </c>
      <c r="E494" s="2">
        <v>45786</v>
      </c>
      <c r="F494" s="2" cm="1">
        <f t="array" ref="F494">_xlfn.IFS(B494="Owner Surrender",E494,B494="Stray",E494+6,B494="Stray w/identification",E494+11,B494="Bite",E494+10,B494="Other",E494+30,B494="BAS",E494+56,B494="Seized",E494)</f>
        <v>45786</v>
      </c>
      <c r="G494" s="2">
        <v>45789</v>
      </c>
      <c r="H494" s="5">
        <f t="shared" si="21"/>
        <v>3</v>
      </c>
      <c r="I494" s="5">
        <f t="shared" si="22"/>
        <v>3</v>
      </c>
      <c r="J494" s="2" t="s">
        <v>31</v>
      </c>
      <c r="K494" s="2" t="s">
        <v>587</v>
      </c>
      <c r="AD494" s="33" t="str">
        <f t="shared" si="23"/>
        <v>Monday</v>
      </c>
    </row>
    <row r="495" spans="1:30" x14ac:dyDescent="0.2">
      <c r="A495" s="23">
        <v>40363</v>
      </c>
      <c r="B495" s="2" t="s">
        <v>36</v>
      </c>
      <c r="C495" t="s">
        <v>49</v>
      </c>
      <c r="D495" t="s">
        <v>207</v>
      </c>
      <c r="E495" s="2">
        <v>45787</v>
      </c>
      <c r="F495" s="2" cm="1">
        <f t="array" ref="F495">_xlfn.IFS(B495="Owner Surrender",E495,B495="Stray",E495+6,B495="Stray w/identification",E495+11,B495="Bite",E495+10,B495="Other",E495+30,B495="BAS",E495+56,B495="Seized",E495)</f>
        <v>45787</v>
      </c>
      <c r="G495" s="2">
        <v>45790</v>
      </c>
      <c r="H495" s="5">
        <f t="shared" si="21"/>
        <v>3</v>
      </c>
      <c r="I495" s="5">
        <f t="shared" si="22"/>
        <v>3</v>
      </c>
      <c r="J495" s="2" t="s">
        <v>18</v>
      </c>
      <c r="K495" s="2" t="s">
        <v>586</v>
      </c>
      <c r="L495" t="s">
        <v>545</v>
      </c>
      <c r="AD495" s="33" t="str">
        <f t="shared" si="23"/>
        <v>Tuesday</v>
      </c>
    </row>
    <row r="496" spans="1:30" x14ac:dyDescent="0.2">
      <c r="A496" s="23">
        <v>40364</v>
      </c>
      <c r="B496" s="2" t="s">
        <v>38</v>
      </c>
      <c r="C496" t="s">
        <v>507</v>
      </c>
      <c r="D496" t="s">
        <v>207</v>
      </c>
      <c r="E496" s="2">
        <v>45788</v>
      </c>
      <c r="F496" s="2" cm="1">
        <f t="array" ref="F496">_xlfn.IFS(B496="Owner Surrender",E496,B496="Stray",E496+6,B496="Stray w/identification",E496+11,B496="Bite",E496+10,B496="Other",E496+30,B496="BAS",E496+56,B496="Seized",E496)</f>
        <v>45794</v>
      </c>
      <c r="G496" s="2">
        <v>45792</v>
      </c>
      <c r="H496" s="5">
        <f t="shared" si="21"/>
        <v>4</v>
      </c>
      <c r="I496" s="5">
        <f t="shared" si="22"/>
        <v>-2</v>
      </c>
      <c r="J496" s="2" t="s">
        <v>31</v>
      </c>
      <c r="K496" s="2" t="s">
        <v>588</v>
      </c>
      <c r="M496" t="s">
        <v>396</v>
      </c>
      <c r="AD496" s="33" t="str">
        <f t="shared" si="23"/>
        <v>Thursday</v>
      </c>
    </row>
    <row r="497" spans="1:30" x14ac:dyDescent="0.2">
      <c r="A497" s="23">
        <v>40368</v>
      </c>
      <c r="B497" s="2" t="s">
        <v>38</v>
      </c>
      <c r="C497" t="s">
        <v>78</v>
      </c>
      <c r="D497" t="s">
        <v>207</v>
      </c>
      <c r="E497" s="2">
        <v>45788</v>
      </c>
      <c r="F497" s="2" cm="1">
        <f t="array" ref="F497">_xlfn.IFS(B497="Owner Surrender",E497,B497="Stray",E497+6,B497="Stray w/identification",E497+11,B497="Bite",E497+10,B497="Other",E497+30,B497="BAS",E497+56,B497="Seized",E497)</f>
        <v>45794</v>
      </c>
      <c r="G497" s="2">
        <v>45789</v>
      </c>
      <c r="H497" s="5">
        <f t="shared" si="21"/>
        <v>1</v>
      </c>
      <c r="I497" s="5">
        <f t="shared" si="22"/>
        <v>-5</v>
      </c>
      <c r="J497" s="2" t="s">
        <v>8</v>
      </c>
      <c r="K497" s="2" t="s">
        <v>586</v>
      </c>
      <c r="AD497" s="33" t="str">
        <f t="shared" si="23"/>
        <v>Monday</v>
      </c>
    </row>
    <row r="498" spans="1:30" x14ac:dyDescent="0.2">
      <c r="A498" s="23">
        <v>40374</v>
      </c>
      <c r="B498" s="2" t="s">
        <v>36</v>
      </c>
      <c r="C498" t="s">
        <v>544</v>
      </c>
      <c r="D498" t="s">
        <v>207</v>
      </c>
      <c r="E498" s="2">
        <v>45788</v>
      </c>
      <c r="F498" s="2" cm="1">
        <f t="array" ref="F498">_xlfn.IFS(B498="Owner Surrender",E498,B498="Stray",E498+6,B498="Stray w/identification",E498+11,B498="Bite",E498+10,B498="Other",E498+30,B498="BAS",E498+56,B498="Seized",E498)</f>
        <v>45788</v>
      </c>
      <c r="G498" s="2">
        <v>45793</v>
      </c>
      <c r="H498" s="5">
        <f t="shared" si="21"/>
        <v>5</v>
      </c>
      <c r="I498" s="5">
        <f t="shared" si="22"/>
        <v>5</v>
      </c>
      <c r="J498" s="2" t="s">
        <v>11</v>
      </c>
      <c r="K498" s="2" t="s">
        <v>586</v>
      </c>
      <c r="AD498" s="33" t="str">
        <f t="shared" si="23"/>
        <v>Friday</v>
      </c>
    </row>
    <row r="499" spans="1:30" x14ac:dyDescent="0.2">
      <c r="A499" s="23">
        <v>40379</v>
      </c>
      <c r="B499" s="2" t="s">
        <v>36</v>
      </c>
      <c r="C499" t="s">
        <v>148</v>
      </c>
      <c r="D499" t="s">
        <v>207</v>
      </c>
      <c r="E499" s="2">
        <v>45789</v>
      </c>
      <c r="F499" s="2" cm="1">
        <f t="array" ref="F499">_xlfn.IFS(B499="Owner Surrender",E499,B499="Stray",E499+6,B499="Stray w/identification",E499+11,B499="Bite",E499+10,B499="Other",E499+30,B499="BAS",E499+56,B499="Seized",E499)</f>
        <v>45789</v>
      </c>
      <c r="G499" s="2">
        <v>45790</v>
      </c>
      <c r="H499" s="5">
        <f t="shared" si="21"/>
        <v>1</v>
      </c>
      <c r="I499" s="5">
        <f t="shared" si="22"/>
        <v>1</v>
      </c>
      <c r="J499" s="2" t="s">
        <v>18</v>
      </c>
      <c r="K499" s="2" t="s">
        <v>586</v>
      </c>
      <c r="AD499" s="33" t="str">
        <f t="shared" si="23"/>
        <v>Tuesday</v>
      </c>
    </row>
    <row r="500" spans="1:30" x14ac:dyDescent="0.2">
      <c r="A500" s="23">
        <v>40380</v>
      </c>
      <c r="B500" s="2" t="s">
        <v>38</v>
      </c>
      <c r="C500" t="s">
        <v>49</v>
      </c>
      <c r="D500" t="s">
        <v>207</v>
      </c>
      <c r="E500" s="2">
        <v>45789</v>
      </c>
      <c r="F500" s="2" cm="1">
        <f t="array" ref="F500">_xlfn.IFS(B500="Owner Surrender",E500,B500="Stray",E500+6,B500="Stray w/identification",E500+11,B500="Bite",E500+10,B500="Other",E500+30,B500="BAS",E500+56,B500="Seized",E500)</f>
        <v>45795</v>
      </c>
      <c r="G500" s="2">
        <v>45796</v>
      </c>
      <c r="H500" s="5">
        <f t="shared" si="21"/>
        <v>7</v>
      </c>
      <c r="I500" s="5">
        <f t="shared" si="22"/>
        <v>1</v>
      </c>
      <c r="J500" s="2" t="s">
        <v>31</v>
      </c>
      <c r="K500" s="2" t="s">
        <v>587</v>
      </c>
      <c r="AD500" s="33" t="str">
        <f t="shared" si="23"/>
        <v>Monday</v>
      </c>
    </row>
    <row r="501" spans="1:30" x14ac:dyDescent="0.2">
      <c r="A501" s="23">
        <v>40383</v>
      </c>
      <c r="B501" s="2" t="s">
        <v>36</v>
      </c>
      <c r="C501" t="s">
        <v>48</v>
      </c>
      <c r="D501" t="s">
        <v>207</v>
      </c>
      <c r="E501" s="2">
        <v>45789</v>
      </c>
      <c r="F501" s="2" cm="1">
        <f t="array" ref="F501">_xlfn.IFS(B501="Owner Surrender",E501,B501="Stray",E501+6,B501="Stray w/identification",E501+11,B501="Bite",E501+10,B501="Other",E501+30,B501="BAS",E501+56,B501="Seized",E501)</f>
        <v>45789</v>
      </c>
      <c r="G501" s="2">
        <v>45793</v>
      </c>
      <c r="H501" s="5">
        <f t="shared" si="21"/>
        <v>4</v>
      </c>
      <c r="I501" s="5">
        <f t="shared" si="22"/>
        <v>4</v>
      </c>
      <c r="J501" s="2" t="s">
        <v>31</v>
      </c>
      <c r="K501" s="2" t="s">
        <v>587</v>
      </c>
      <c r="AD501" s="33" t="str">
        <f t="shared" si="23"/>
        <v>Friday</v>
      </c>
    </row>
    <row r="502" spans="1:30" x14ac:dyDescent="0.2">
      <c r="A502" s="23">
        <v>40384</v>
      </c>
      <c r="B502" s="2" t="s">
        <v>36</v>
      </c>
      <c r="C502" t="s">
        <v>48</v>
      </c>
      <c r="D502" t="s">
        <v>207</v>
      </c>
      <c r="E502" s="2">
        <v>45789</v>
      </c>
      <c r="F502" s="2" cm="1">
        <f t="array" ref="F502">_xlfn.IFS(B502="Owner Surrender",E502,B502="Stray",E502+6,B502="Stray w/identification",E502+11,B502="Bite",E502+10,B502="Other",E502+30,B502="BAS",E502+56,B502="Seized",E502)</f>
        <v>45789</v>
      </c>
      <c r="G502" s="2">
        <v>45793</v>
      </c>
      <c r="H502" s="5">
        <f t="shared" si="21"/>
        <v>4</v>
      </c>
      <c r="I502" s="5">
        <f t="shared" si="22"/>
        <v>4</v>
      </c>
      <c r="J502" s="2" t="s">
        <v>31</v>
      </c>
      <c r="K502" s="2" t="s">
        <v>587</v>
      </c>
      <c r="AD502" s="33" t="str">
        <f t="shared" si="23"/>
        <v>Friday</v>
      </c>
    </row>
    <row r="503" spans="1:30" x14ac:dyDescent="0.2">
      <c r="A503" s="23">
        <v>40385</v>
      </c>
      <c r="B503" s="2" t="s">
        <v>179</v>
      </c>
      <c r="C503" t="s">
        <v>49</v>
      </c>
      <c r="D503" t="s">
        <v>207</v>
      </c>
      <c r="E503" s="2">
        <v>45789</v>
      </c>
      <c r="F503" s="2" cm="1">
        <f t="array" ref="F503">_xlfn.IFS(B503="Owner Surrender",E503,B503="Stray",E503+6,B503="Stray w/identification",E503+11,B503="Bite",E503+10,B503="Other",E503+30,B503="BAS",E503+56,B503="Seized",E503)</f>
        <v>45800</v>
      </c>
      <c r="G503" s="2">
        <v>45790</v>
      </c>
      <c r="H503" s="5">
        <f t="shared" si="21"/>
        <v>1</v>
      </c>
      <c r="I503" s="5">
        <f t="shared" si="22"/>
        <v>-10</v>
      </c>
      <c r="J503" s="2" t="s">
        <v>8</v>
      </c>
      <c r="K503" s="2" t="s">
        <v>586</v>
      </c>
      <c r="AD503" s="33" t="str">
        <f t="shared" si="23"/>
        <v>Tuesday</v>
      </c>
    </row>
    <row r="504" spans="1:30" x14ac:dyDescent="0.2">
      <c r="A504" s="23">
        <v>40386</v>
      </c>
      <c r="B504" s="2" t="s">
        <v>38</v>
      </c>
      <c r="C504" t="s">
        <v>49</v>
      </c>
      <c r="D504" t="s">
        <v>208</v>
      </c>
      <c r="E504" s="2">
        <v>45790</v>
      </c>
      <c r="F504" s="2" cm="1">
        <f t="array" ref="F504">_xlfn.IFS(B504="Owner Surrender",E504,B504="Stray",E504+6,B504="Stray w/identification",E504+11,B504="Bite",E504+10,B504="Other",E504+30,B504="BAS",E504+56,B504="Seized",E504)</f>
        <v>45796</v>
      </c>
      <c r="G504" s="2">
        <v>45807</v>
      </c>
      <c r="H504" s="5">
        <f t="shared" si="21"/>
        <v>17</v>
      </c>
      <c r="I504" s="5">
        <f t="shared" si="22"/>
        <v>11</v>
      </c>
      <c r="J504" s="2" t="s">
        <v>31</v>
      </c>
      <c r="K504" s="2" t="s">
        <v>587</v>
      </c>
      <c r="AD504" s="33" t="str">
        <f t="shared" si="23"/>
        <v>Friday</v>
      </c>
    </row>
    <row r="505" spans="1:30" x14ac:dyDescent="0.2">
      <c r="A505" s="23">
        <v>40387</v>
      </c>
      <c r="B505" s="2" t="s">
        <v>38</v>
      </c>
      <c r="C505" t="s">
        <v>48</v>
      </c>
      <c r="D505" t="s">
        <v>207</v>
      </c>
      <c r="E505" s="2">
        <v>45790</v>
      </c>
      <c r="F505" s="2" cm="1">
        <f t="array" ref="F505">_xlfn.IFS(B505="Owner Surrender",E505,B505="Stray",E505+6,B505="Stray w/identification",E505+11,B505="Bite",E505+10,B505="Other",E505+30,B505="BAS",E505+56,B505="Seized",E505)</f>
        <v>45796</v>
      </c>
      <c r="G505" s="2">
        <v>45800</v>
      </c>
      <c r="H505" s="5">
        <f t="shared" si="21"/>
        <v>10</v>
      </c>
      <c r="I505" s="5">
        <f t="shared" si="22"/>
        <v>4</v>
      </c>
      <c r="J505" s="2" t="s">
        <v>31</v>
      </c>
      <c r="K505" s="2" t="s">
        <v>587</v>
      </c>
      <c r="L505" t="s">
        <v>543</v>
      </c>
      <c r="AD505" s="33" t="str">
        <f t="shared" si="23"/>
        <v>Friday</v>
      </c>
    </row>
    <row r="506" spans="1:30" x14ac:dyDescent="0.2">
      <c r="A506" s="23">
        <v>40389</v>
      </c>
      <c r="B506" s="2" t="s">
        <v>36</v>
      </c>
      <c r="C506" t="s">
        <v>75</v>
      </c>
      <c r="D506" t="s">
        <v>207</v>
      </c>
      <c r="E506" s="2">
        <v>45790</v>
      </c>
      <c r="F506" s="2" cm="1">
        <f t="array" ref="F506">_xlfn.IFS(B506="Owner Surrender",E506,B506="Stray",E506+6,B506="Stray w/identification",E506+11,B506="Bite",E506+10,B506="Other",E506+30,B506="BAS",E506+56,B506="Seized",E506)</f>
        <v>45790</v>
      </c>
      <c r="G506" s="2">
        <v>45793</v>
      </c>
      <c r="H506" s="5">
        <f t="shared" si="21"/>
        <v>3</v>
      </c>
      <c r="I506" s="5">
        <f t="shared" si="22"/>
        <v>3</v>
      </c>
      <c r="J506" s="2" t="s">
        <v>31</v>
      </c>
      <c r="K506" s="2" t="s">
        <v>587</v>
      </c>
      <c r="AD506" s="33" t="str">
        <f t="shared" si="23"/>
        <v>Friday</v>
      </c>
    </row>
    <row r="507" spans="1:30" x14ac:dyDescent="0.2">
      <c r="A507" s="23">
        <v>40391</v>
      </c>
      <c r="B507" s="2" t="s">
        <v>36</v>
      </c>
      <c r="C507" t="s">
        <v>55</v>
      </c>
      <c r="D507" t="s">
        <v>207</v>
      </c>
      <c r="E507" s="2">
        <v>45790</v>
      </c>
      <c r="F507" s="2" cm="1">
        <f t="array" ref="F507">_xlfn.IFS(B507="Owner Surrender",E507,B507="Stray",E507+6,B507="Stray w/identification",E507+11,B507="Bite",E507+10,B507="Other",E507+30,B507="BAS",E507+56,B507="Seized",E507)</f>
        <v>45790</v>
      </c>
      <c r="G507" s="2">
        <v>45812</v>
      </c>
      <c r="H507" s="5">
        <f t="shared" si="21"/>
        <v>22</v>
      </c>
      <c r="I507" s="5">
        <f t="shared" si="22"/>
        <v>22</v>
      </c>
      <c r="J507" s="2" t="s">
        <v>31</v>
      </c>
      <c r="K507" s="2" t="s">
        <v>587</v>
      </c>
      <c r="L507" t="s">
        <v>440</v>
      </c>
      <c r="AD507" s="33" t="str">
        <f t="shared" si="23"/>
        <v>Wednesday</v>
      </c>
    </row>
    <row r="508" spans="1:30" x14ac:dyDescent="0.2">
      <c r="A508" s="23">
        <v>40392</v>
      </c>
      <c r="B508" s="2" t="s">
        <v>36</v>
      </c>
      <c r="C508" t="s">
        <v>167</v>
      </c>
      <c r="D508" t="s">
        <v>210</v>
      </c>
      <c r="E508" s="2">
        <v>45790</v>
      </c>
      <c r="F508" s="2" cm="1">
        <f t="array" ref="F508">_xlfn.IFS(B508="Owner Surrender",E508,B508="Stray",E508+6,B508="Stray w/identification",E508+11,B508="Bite",E508+10,B508="Other",E508+30,B508="BAS",E508+56,B508="Seized",E508)</f>
        <v>45790</v>
      </c>
      <c r="G508" s="2">
        <v>45790</v>
      </c>
      <c r="H508" s="5">
        <f t="shared" si="21"/>
        <v>0</v>
      </c>
      <c r="I508" s="5">
        <f t="shared" si="22"/>
        <v>0</v>
      </c>
      <c r="J508" s="2" t="s">
        <v>31</v>
      </c>
      <c r="K508" s="2" t="s">
        <v>589</v>
      </c>
      <c r="M508" t="s">
        <v>542</v>
      </c>
      <c r="AD508" s="33" t="str">
        <f t="shared" si="23"/>
        <v>Tuesday</v>
      </c>
    </row>
    <row r="509" spans="1:30" x14ac:dyDescent="0.2">
      <c r="A509" s="23">
        <v>40394</v>
      </c>
      <c r="B509" s="2" t="s">
        <v>36</v>
      </c>
      <c r="C509" t="s">
        <v>107</v>
      </c>
      <c r="D509" t="s">
        <v>207</v>
      </c>
      <c r="E509" s="2">
        <v>45790</v>
      </c>
      <c r="F509" s="2" cm="1">
        <f t="array" ref="F509">_xlfn.IFS(B509="Owner Surrender",E509,B509="Stray",E509+6,B509="Stray w/identification",E509+11,B509="Bite",E509+10,B509="Other",E509+30,B509="BAS",E509+56,B509="Seized",E509)</f>
        <v>45790</v>
      </c>
      <c r="G509" s="2">
        <v>45797</v>
      </c>
      <c r="H509" s="5">
        <f t="shared" si="21"/>
        <v>7</v>
      </c>
      <c r="I509" s="5">
        <f t="shared" si="22"/>
        <v>7</v>
      </c>
      <c r="J509" s="2" t="s">
        <v>31</v>
      </c>
      <c r="K509" s="2" t="s">
        <v>587</v>
      </c>
      <c r="L509" t="s">
        <v>354</v>
      </c>
      <c r="AD509" s="33" t="str">
        <f t="shared" si="23"/>
        <v>Tuesday</v>
      </c>
    </row>
    <row r="510" spans="1:30" x14ac:dyDescent="0.2">
      <c r="A510" s="23">
        <v>40396</v>
      </c>
      <c r="B510" s="2" t="s">
        <v>38</v>
      </c>
      <c r="C510" t="s">
        <v>82</v>
      </c>
      <c r="D510" t="s">
        <v>207</v>
      </c>
      <c r="E510" s="2">
        <v>45790</v>
      </c>
      <c r="F510" s="2" cm="1">
        <f t="array" ref="F510">_xlfn.IFS(B510="Owner Surrender",E510,B510="Stray",E510+6,B510="Stray w/identification",E510+11,B510="Bite",E510+10,B510="Other",E510+30,B510="BAS",E510+56,B510="Seized",E510)</f>
        <v>45796</v>
      </c>
      <c r="G510" s="2">
        <v>45796</v>
      </c>
      <c r="H510" s="5">
        <f t="shared" si="21"/>
        <v>6</v>
      </c>
      <c r="I510" s="5">
        <f t="shared" si="22"/>
        <v>0</v>
      </c>
      <c r="J510" s="2" t="s">
        <v>18</v>
      </c>
      <c r="K510" s="2" t="s">
        <v>586</v>
      </c>
      <c r="L510" t="s">
        <v>153</v>
      </c>
      <c r="AD510" s="33" t="str">
        <f t="shared" si="23"/>
        <v>Monday</v>
      </c>
    </row>
    <row r="511" spans="1:30" x14ac:dyDescent="0.2">
      <c r="A511" s="23">
        <v>40397</v>
      </c>
      <c r="B511" s="2" t="s">
        <v>36</v>
      </c>
      <c r="C511" t="s">
        <v>174</v>
      </c>
      <c r="D511" t="s">
        <v>210</v>
      </c>
      <c r="E511" s="2">
        <v>45791</v>
      </c>
      <c r="F511" s="2" cm="1">
        <f t="array" ref="F511">_xlfn.IFS(B511="Owner Surrender",E511,B511="Stray",E511+6,B511="Stray w/identification",E511+11,B511="Bite",E511+10,B511="Other",E511+30,B511="BAS",E511+56,B511="Seized",E511)</f>
        <v>45791</v>
      </c>
      <c r="G511" s="2">
        <v>45793</v>
      </c>
      <c r="H511" s="5">
        <f t="shared" si="21"/>
        <v>2</v>
      </c>
      <c r="I511" s="5">
        <f t="shared" si="22"/>
        <v>2</v>
      </c>
      <c r="J511" s="2" t="s">
        <v>31</v>
      </c>
      <c r="K511" s="2" t="s">
        <v>587</v>
      </c>
      <c r="AD511" s="33" t="str">
        <f t="shared" si="23"/>
        <v>Friday</v>
      </c>
    </row>
    <row r="512" spans="1:30" x14ac:dyDescent="0.2">
      <c r="A512" s="23">
        <v>40398</v>
      </c>
      <c r="B512" s="2" t="s">
        <v>179</v>
      </c>
      <c r="C512" t="s">
        <v>51</v>
      </c>
      <c r="D512" t="s">
        <v>207</v>
      </c>
      <c r="E512" s="2">
        <v>45791</v>
      </c>
      <c r="F512" s="2" cm="1">
        <f t="array" ref="F512">_xlfn.IFS(B512="Owner Surrender",E512,B512="Stray",E512+6,B512="Stray w/identification",E512+11,B512="Bite",E512+10,B512="Other",E512+30,B512="BAS",E512+56,B512="Seized",E512)</f>
        <v>45802</v>
      </c>
      <c r="G512" s="2">
        <v>45791</v>
      </c>
      <c r="H512" s="5">
        <f t="shared" si="21"/>
        <v>0</v>
      </c>
      <c r="I512" s="5">
        <f t="shared" si="22"/>
        <v>-11</v>
      </c>
      <c r="J512" s="2" t="s">
        <v>8</v>
      </c>
      <c r="K512" s="2" t="s">
        <v>586</v>
      </c>
      <c r="AD512" s="33" t="str">
        <f t="shared" si="23"/>
        <v>Wednesday</v>
      </c>
    </row>
    <row r="513" spans="1:30" x14ac:dyDescent="0.2">
      <c r="A513" s="23">
        <v>40403</v>
      </c>
      <c r="B513" s="2" t="s">
        <v>36</v>
      </c>
      <c r="C513" t="s">
        <v>507</v>
      </c>
      <c r="D513" t="s">
        <v>208</v>
      </c>
      <c r="E513" s="2">
        <v>45791</v>
      </c>
      <c r="F513" s="2" cm="1">
        <f t="array" ref="F513">_xlfn.IFS(B513="Owner Surrender",E513,B513="Stray",E513+6,B513="Stray w/identification",E513+11,B513="Bite",E513+10,B513="Other",E513+30,B513="BAS",E513+56,B513="Seized",E513)</f>
        <v>45791</v>
      </c>
      <c r="G513" s="2">
        <v>45792</v>
      </c>
      <c r="H513" s="5">
        <f t="shared" si="21"/>
        <v>1</v>
      </c>
      <c r="I513" s="5">
        <f t="shared" si="22"/>
        <v>1</v>
      </c>
      <c r="J513" s="2" t="s">
        <v>31</v>
      </c>
      <c r="K513" s="2" t="s">
        <v>587</v>
      </c>
      <c r="AD513" s="33" t="str">
        <f t="shared" si="23"/>
        <v>Thursday</v>
      </c>
    </row>
    <row r="514" spans="1:30" x14ac:dyDescent="0.2">
      <c r="A514" s="23">
        <v>40404</v>
      </c>
      <c r="B514" s="2" t="s">
        <v>36</v>
      </c>
      <c r="C514" t="s">
        <v>507</v>
      </c>
      <c r="D514" t="s">
        <v>208</v>
      </c>
      <c r="E514" s="2">
        <v>45791</v>
      </c>
      <c r="F514" s="2" cm="1">
        <f t="array" ref="F514">_xlfn.IFS(B514="Owner Surrender",E514,B514="Stray",E514+6,B514="Stray w/identification",E514+11,B514="Bite",E514+10,B514="Other",E514+30,B514="BAS",E514+56,B514="Seized",E514)</f>
        <v>45791</v>
      </c>
      <c r="G514" s="2">
        <v>45792</v>
      </c>
      <c r="H514" s="5">
        <f t="shared" si="21"/>
        <v>1</v>
      </c>
      <c r="I514" s="5">
        <f t="shared" si="22"/>
        <v>1</v>
      </c>
      <c r="J514" s="2" t="s">
        <v>28</v>
      </c>
      <c r="K514" s="2" t="s">
        <v>586</v>
      </c>
      <c r="AD514" s="33" t="str">
        <f t="shared" si="23"/>
        <v>Thursday</v>
      </c>
    </row>
    <row r="515" spans="1:30" x14ac:dyDescent="0.2">
      <c r="A515" s="23">
        <v>40405</v>
      </c>
      <c r="B515" s="2" t="s">
        <v>36</v>
      </c>
      <c r="C515" t="s">
        <v>507</v>
      </c>
      <c r="D515" t="s">
        <v>208</v>
      </c>
      <c r="E515" s="2">
        <v>45791</v>
      </c>
      <c r="F515" s="2" cm="1">
        <f t="array" ref="F515">_xlfn.IFS(B515="Owner Surrender",E515,B515="Stray",E515+6,B515="Stray w/identification",E515+11,B515="Bite",E515+10,B515="Other",E515+30,B515="BAS",E515+56,B515="Seized",E515)</f>
        <v>45791</v>
      </c>
      <c r="G515" s="2">
        <v>45792</v>
      </c>
      <c r="H515" s="5">
        <f t="shared" ref="H515:H578" si="24">+G515-E515</f>
        <v>1</v>
      </c>
      <c r="I515" s="5">
        <f t="shared" ref="I515:I526" si="25">G515-F515</f>
        <v>1</v>
      </c>
      <c r="J515" s="2" t="s">
        <v>28</v>
      </c>
      <c r="K515" s="2" t="s">
        <v>586</v>
      </c>
      <c r="AD515" s="33" t="str">
        <f t="shared" si="23"/>
        <v>Thursday</v>
      </c>
    </row>
    <row r="516" spans="1:30" x14ac:dyDescent="0.2">
      <c r="A516" s="23">
        <v>40406</v>
      </c>
      <c r="B516" s="2" t="s">
        <v>36</v>
      </c>
      <c r="C516" t="s">
        <v>507</v>
      </c>
      <c r="D516" t="s">
        <v>208</v>
      </c>
      <c r="E516" s="2">
        <v>45791</v>
      </c>
      <c r="F516" s="2" cm="1">
        <f t="array" ref="F516">_xlfn.IFS(B516="Owner Surrender",E516,B516="Stray",E516+6,B516="Stray w/identification",E516+11,B516="Bite",E516+10,B516="Other",E516+30,B516="BAS",E516+56,B516="Seized",E516)</f>
        <v>45791</v>
      </c>
      <c r="G516" s="2">
        <v>45797</v>
      </c>
      <c r="H516" s="5">
        <f t="shared" si="24"/>
        <v>6</v>
      </c>
      <c r="I516" s="5">
        <f t="shared" si="25"/>
        <v>6</v>
      </c>
      <c r="J516" s="2" t="s">
        <v>18</v>
      </c>
      <c r="K516" s="2" t="s">
        <v>586</v>
      </c>
      <c r="AD516" s="33" t="str">
        <f t="shared" ref="AD516:AD579" si="26">TEXT(G516,"DDDD")</f>
        <v>Tuesday</v>
      </c>
    </row>
    <row r="517" spans="1:30" x14ac:dyDescent="0.2">
      <c r="A517" s="23">
        <v>40407</v>
      </c>
      <c r="B517" s="2" t="s">
        <v>36</v>
      </c>
      <c r="C517" t="s">
        <v>507</v>
      </c>
      <c r="D517" t="s">
        <v>208</v>
      </c>
      <c r="E517" s="2">
        <v>45791</v>
      </c>
      <c r="F517" s="2" cm="1">
        <f t="array" ref="F517">_xlfn.IFS(B517="Owner Surrender",E517,B517="Stray",E517+6,B517="Stray w/identification",E517+11,B517="Bite",E517+10,B517="Other",E517+30,B517="BAS",E517+56,B517="Seized",E517)</f>
        <v>45791</v>
      </c>
      <c r="G517" s="2">
        <v>45792</v>
      </c>
      <c r="H517" s="5">
        <f t="shared" si="24"/>
        <v>1</v>
      </c>
      <c r="I517" s="5">
        <f t="shared" si="25"/>
        <v>1</v>
      </c>
      <c r="J517" s="2" t="s">
        <v>28</v>
      </c>
      <c r="K517" s="2" t="s">
        <v>586</v>
      </c>
      <c r="M517" t="s">
        <v>111</v>
      </c>
      <c r="AD517" s="33" t="str">
        <f t="shared" si="26"/>
        <v>Thursday</v>
      </c>
    </row>
    <row r="518" spans="1:30" x14ac:dyDescent="0.2">
      <c r="A518" s="23">
        <v>40408</v>
      </c>
      <c r="B518" s="2" t="s">
        <v>36</v>
      </c>
      <c r="C518" t="s">
        <v>507</v>
      </c>
      <c r="D518" t="s">
        <v>208</v>
      </c>
      <c r="E518" s="2">
        <v>45791</v>
      </c>
      <c r="F518" s="2" cm="1">
        <f t="array" ref="F518">_xlfn.IFS(B518="Owner Surrender",E518,B518="Stray",E518+6,B518="Stray w/identification",E518+11,B518="Bite",E518+10,B518="Other",E518+30,B518="BAS",E518+56,B518="Seized",E518)</f>
        <v>45791</v>
      </c>
      <c r="G518" s="2">
        <v>45810</v>
      </c>
      <c r="H518" s="5">
        <f t="shared" si="24"/>
        <v>19</v>
      </c>
      <c r="I518" s="5">
        <f t="shared" si="25"/>
        <v>19</v>
      </c>
      <c r="J518" s="2" t="s">
        <v>11</v>
      </c>
      <c r="K518" s="2" t="s">
        <v>586</v>
      </c>
      <c r="AD518" s="33" t="str">
        <f t="shared" si="26"/>
        <v>Monday</v>
      </c>
    </row>
    <row r="519" spans="1:30" x14ac:dyDescent="0.2">
      <c r="A519" s="23">
        <v>40409</v>
      </c>
      <c r="B519" s="2" t="s">
        <v>36</v>
      </c>
      <c r="C519" t="s">
        <v>507</v>
      </c>
      <c r="D519" t="s">
        <v>208</v>
      </c>
      <c r="E519" s="2">
        <v>45791</v>
      </c>
      <c r="F519" s="2" cm="1">
        <f t="array" ref="F519">_xlfn.IFS(B519="Owner Surrender",E519,B519="Stray",E519+6,B519="Stray w/identification",E519+11,B519="Bite",E519+10,B519="Other",E519+30,B519="BAS",E519+56,B519="Seized",E519)</f>
        <v>45791</v>
      </c>
      <c r="G519" s="2">
        <v>45810</v>
      </c>
      <c r="H519" s="5">
        <f t="shared" si="24"/>
        <v>19</v>
      </c>
      <c r="I519" s="5">
        <f t="shared" si="25"/>
        <v>19</v>
      </c>
      <c r="J519" s="2" t="s">
        <v>11</v>
      </c>
      <c r="K519" s="2" t="s">
        <v>586</v>
      </c>
      <c r="AD519" s="33" t="str">
        <f t="shared" si="26"/>
        <v>Monday</v>
      </c>
    </row>
    <row r="520" spans="1:30" x14ac:dyDescent="0.2">
      <c r="A520" s="23">
        <v>40410</v>
      </c>
      <c r="B520" s="2" t="s">
        <v>36</v>
      </c>
      <c r="C520" t="s">
        <v>507</v>
      </c>
      <c r="D520" t="s">
        <v>208</v>
      </c>
      <c r="E520" s="2">
        <v>45791</v>
      </c>
      <c r="F520" s="2" cm="1">
        <f t="array" ref="F520">_xlfn.IFS(B520="Owner Surrender",E520,B520="Stray",E520+6,B520="Stray w/identification",E520+11,B520="Bite",E520+10,B520="Other",E520+30,B520="BAS",E520+56,B520="Seized",E520)</f>
        <v>45791</v>
      </c>
      <c r="G520" s="2">
        <v>45797</v>
      </c>
      <c r="H520" s="5">
        <f t="shared" si="24"/>
        <v>6</v>
      </c>
      <c r="I520" s="5">
        <f t="shared" si="25"/>
        <v>6</v>
      </c>
      <c r="J520" s="2" t="s">
        <v>18</v>
      </c>
      <c r="K520" s="2" t="s">
        <v>586</v>
      </c>
      <c r="AD520" s="33" t="str">
        <f t="shared" si="26"/>
        <v>Tuesday</v>
      </c>
    </row>
    <row r="521" spans="1:30" x14ac:dyDescent="0.2">
      <c r="A521" s="23">
        <v>40411</v>
      </c>
      <c r="B521" s="2" t="s">
        <v>38</v>
      </c>
      <c r="C521" t="s">
        <v>78</v>
      </c>
      <c r="D521" t="s">
        <v>207</v>
      </c>
      <c r="E521" s="2">
        <v>45792</v>
      </c>
      <c r="F521" s="2" cm="1">
        <f t="array" ref="F521">_xlfn.IFS(B521="Owner Surrender",E521,B521="Stray",E521+6,B521="Stray w/identification",E521+11,B521="Bite",E521+10,B521="Other",E521+30,B521="BAS",E521+56,B521="Seized",E521)</f>
        <v>45798</v>
      </c>
      <c r="G521" s="2">
        <v>45792</v>
      </c>
      <c r="H521" s="5">
        <f t="shared" si="24"/>
        <v>0</v>
      </c>
      <c r="I521" s="5">
        <f t="shared" si="25"/>
        <v>-6</v>
      </c>
      <c r="J521" s="2" t="s">
        <v>8</v>
      </c>
      <c r="K521" s="2" t="s">
        <v>586</v>
      </c>
      <c r="AD521" s="33" t="str">
        <f t="shared" si="26"/>
        <v>Thursday</v>
      </c>
    </row>
    <row r="522" spans="1:30" x14ac:dyDescent="0.2">
      <c r="A522" s="23">
        <v>40412</v>
      </c>
      <c r="B522" s="2" t="s">
        <v>38</v>
      </c>
      <c r="C522" t="s">
        <v>488</v>
      </c>
      <c r="D522" t="s">
        <v>207</v>
      </c>
      <c r="E522" s="2">
        <v>45792</v>
      </c>
      <c r="F522" s="2" cm="1">
        <f t="array" ref="F522">_xlfn.IFS(B522="Owner Surrender",E522,B522="Stray",E522+6,B522="Stray w/identification",E522+11,B522="Bite",E522+10,B522="Other",E522+30,B522="BAS",E522+56,B522="Seized",E522)</f>
        <v>45798</v>
      </c>
      <c r="G522" s="2">
        <v>45792</v>
      </c>
      <c r="H522" s="5">
        <f t="shared" si="24"/>
        <v>0</v>
      </c>
      <c r="I522" s="5">
        <f t="shared" si="25"/>
        <v>-6</v>
      </c>
      <c r="J522" s="2" t="s">
        <v>8</v>
      </c>
      <c r="K522" s="2" t="s">
        <v>586</v>
      </c>
      <c r="AD522" s="33" t="str">
        <f t="shared" si="26"/>
        <v>Thursday</v>
      </c>
    </row>
    <row r="523" spans="1:30" x14ac:dyDescent="0.2">
      <c r="A523" s="23">
        <v>40413</v>
      </c>
      <c r="B523" s="2" t="s">
        <v>179</v>
      </c>
      <c r="C523" t="s">
        <v>49</v>
      </c>
      <c r="D523" t="s">
        <v>207</v>
      </c>
      <c r="E523" s="2">
        <v>45792</v>
      </c>
      <c r="F523" s="2" cm="1">
        <f t="array" ref="F523">_xlfn.IFS(B523="Owner Surrender",E523,B523="Stray",E523+6,B523="Stray w/identification",E523+11,B523="Bite",E523+10,B523="Other",E523+30,B523="BAS",E523+56,B523="Seized",E523)</f>
        <v>45803</v>
      </c>
      <c r="G523" s="2">
        <v>45805</v>
      </c>
      <c r="H523" s="5">
        <f t="shared" si="24"/>
        <v>13</v>
      </c>
      <c r="I523" s="5">
        <f t="shared" si="25"/>
        <v>2</v>
      </c>
      <c r="J523" s="2" t="s">
        <v>31</v>
      </c>
      <c r="K523" s="2" t="s">
        <v>587</v>
      </c>
      <c r="AD523" s="33" t="str">
        <f t="shared" si="26"/>
        <v>Wednesday</v>
      </c>
    </row>
    <row r="524" spans="1:30" x14ac:dyDescent="0.2">
      <c r="A524" s="23">
        <v>40414</v>
      </c>
      <c r="B524" s="2" t="s">
        <v>38</v>
      </c>
      <c r="C524" t="s">
        <v>69</v>
      </c>
      <c r="D524" t="s">
        <v>207</v>
      </c>
      <c r="E524" s="2">
        <v>45792</v>
      </c>
      <c r="F524" s="2" cm="1">
        <f t="array" ref="F524">_xlfn.IFS(B524="Owner Surrender",E524,B524="Stray",E524+6,B524="Stray w/identification",E524+11,B524="Bite",E524+10,B524="Other",E524+30,B524="BAS",E524+56,B524="Seized",E524)</f>
        <v>45798</v>
      </c>
      <c r="G524" s="2">
        <v>45800</v>
      </c>
      <c r="H524" s="5">
        <f t="shared" si="24"/>
        <v>8</v>
      </c>
      <c r="I524" s="5">
        <f t="shared" si="25"/>
        <v>2</v>
      </c>
      <c r="J524" s="2" t="s">
        <v>31</v>
      </c>
      <c r="K524" s="2" t="s">
        <v>587</v>
      </c>
      <c r="L524" t="s">
        <v>555</v>
      </c>
      <c r="AD524" s="33" t="str">
        <f t="shared" si="26"/>
        <v>Friday</v>
      </c>
    </row>
    <row r="525" spans="1:30" x14ac:dyDescent="0.2">
      <c r="A525" s="23">
        <v>40429</v>
      </c>
      <c r="B525" s="2" t="s">
        <v>179</v>
      </c>
      <c r="C525" t="s">
        <v>89</v>
      </c>
      <c r="D525" t="s">
        <v>207</v>
      </c>
      <c r="E525" s="2">
        <v>45792</v>
      </c>
      <c r="F525" s="2" cm="1">
        <f t="array" ref="F525">_xlfn.IFS(B525="Owner Surrender",E525,B525="Stray",E525+6,B525="Stray w/identification",E525+11,B525="Bite",E525+10,B525="Other",E525+30,B525="BAS",E525+56,B525="Seized",E525)</f>
        <v>45803</v>
      </c>
      <c r="G525" s="2">
        <v>45793</v>
      </c>
      <c r="H525" s="5">
        <f t="shared" si="24"/>
        <v>1</v>
      </c>
      <c r="I525" s="5">
        <f t="shared" si="25"/>
        <v>-10</v>
      </c>
      <c r="J525" s="2" t="s">
        <v>8</v>
      </c>
      <c r="K525" s="2" t="s">
        <v>586</v>
      </c>
      <c r="AD525" s="33" t="str">
        <f t="shared" si="26"/>
        <v>Friday</v>
      </c>
    </row>
    <row r="526" spans="1:30" x14ac:dyDescent="0.2">
      <c r="A526" s="23">
        <v>40430</v>
      </c>
      <c r="B526" s="2" t="s">
        <v>38</v>
      </c>
      <c r="C526" t="s">
        <v>69</v>
      </c>
      <c r="D526" t="s">
        <v>207</v>
      </c>
      <c r="E526" s="2">
        <v>45793</v>
      </c>
      <c r="F526" s="2" cm="1">
        <f t="array" ref="F526">_xlfn.IFS(B526="Owner Surrender",E526,B526="Stray",E526+6,B526="Stray w/identification",E526+11,B526="Bite",E526+10,B526="Other",E526+30,B526="BAS",E526+56,B526="Seized",E526)</f>
        <v>45799</v>
      </c>
      <c r="G526" s="2">
        <v>45815</v>
      </c>
      <c r="H526" s="5">
        <f t="shared" si="24"/>
        <v>22</v>
      </c>
      <c r="I526" s="5">
        <f t="shared" si="25"/>
        <v>16</v>
      </c>
      <c r="J526" s="2" t="s">
        <v>18</v>
      </c>
      <c r="K526" s="2" t="s">
        <v>586</v>
      </c>
      <c r="AD526" s="33" t="str">
        <f t="shared" si="26"/>
        <v>Saturday</v>
      </c>
    </row>
    <row r="527" spans="1:30" x14ac:dyDescent="0.2">
      <c r="A527" s="23">
        <v>40431</v>
      </c>
      <c r="B527" s="2" t="s">
        <v>60</v>
      </c>
      <c r="C527" t="s">
        <v>49</v>
      </c>
      <c r="D527" t="s">
        <v>207</v>
      </c>
      <c r="E527" s="2">
        <v>45792</v>
      </c>
      <c r="F527" s="2" cm="1">
        <f t="array" ref="F527">_xlfn.IFS(B527="Owner Surrender",E527,B527="Stray",E527+6,B527="Stray w/identification",E527+11,B527="Bite",E527+10,B527="Other",E527+30,B527="BAS",E527+56,B527="Seized",E527)</f>
        <v>45822</v>
      </c>
      <c r="G527" s="2">
        <v>45848</v>
      </c>
      <c r="H527" s="5">
        <f t="shared" si="24"/>
        <v>56</v>
      </c>
      <c r="J527" s="2" t="s">
        <v>8</v>
      </c>
      <c r="K527" s="2" t="s">
        <v>586</v>
      </c>
      <c r="M527" t="s">
        <v>9</v>
      </c>
      <c r="AD527" s="33" t="str">
        <f t="shared" si="26"/>
        <v>Thursday</v>
      </c>
    </row>
    <row r="528" spans="1:30" x14ac:dyDescent="0.2">
      <c r="A528" s="23">
        <v>40433</v>
      </c>
      <c r="B528" s="2" t="s">
        <v>36</v>
      </c>
      <c r="C528" t="s">
        <v>420</v>
      </c>
      <c r="D528" t="s">
        <v>207</v>
      </c>
      <c r="E528" s="2">
        <v>45793</v>
      </c>
      <c r="F528" s="2" cm="1">
        <f t="array" ref="F528">_xlfn.IFS(B528="Owner Surrender",E528,B528="Stray",E528+6,B528="Stray w/identification",E528+11,B528="Bite",E528+10,B528="Other",E528+30,B528="BAS",E528+56,B528="Seized",E528)</f>
        <v>45793</v>
      </c>
      <c r="G528" s="2">
        <v>45805</v>
      </c>
      <c r="H528" s="5">
        <f t="shared" si="24"/>
        <v>12</v>
      </c>
      <c r="I528" s="5">
        <f>G528-F528</f>
        <v>12</v>
      </c>
      <c r="J528" s="2" t="s">
        <v>31</v>
      </c>
      <c r="K528" s="2" t="s">
        <v>587</v>
      </c>
      <c r="L528" t="s">
        <v>138</v>
      </c>
      <c r="AD528" s="33" t="str">
        <f t="shared" si="26"/>
        <v>Wednesday</v>
      </c>
    </row>
    <row r="529" spans="1:30" x14ac:dyDescent="0.2">
      <c r="A529" s="23">
        <v>40445</v>
      </c>
      <c r="B529" s="2" t="s">
        <v>179</v>
      </c>
      <c r="C529" t="s">
        <v>49</v>
      </c>
      <c r="D529" t="s">
        <v>207</v>
      </c>
      <c r="E529" s="2">
        <v>45794</v>
      </c>
      <c r="F529" s="2" cm="1">
        <f t="array" ref="F529">_xlfn.IFS(B529="Owner Surrender",E529,B529="Stray",E529+6,B529="Stray w/identification",E529+11,B529="Bite",E529+10,B529="Other",E529+30,B529="BAS",E529+56,B529="Seized",E529)</f>
        <v>45805</v>
      </c>
      <c r="G529" s="2">
        <v>45807</v>
      </c>
      <c r="H529" s="5">
        <f t="shared" si="24"/>
        <v>13</v>
      </c>
      <c r="I529" s="5">
        <f>G529-F529</f>
        <v>2</v>
      </c>
      <c r="J529" s="2" t="s">
        <v>31</v>
      </c>
      <c r="K529" s="2" t="s">
        <v>587</v>
      </c>
      <c r="AD529" s="33" t="str">
        <f t="shared" si="26"/>
        <v>Friday</v>
      </c>
    </row>
    <row r="530" spans="1:30" x14ac:dyDescent="0.2">
      <c r="A530" s="23">
        <v>40449</v>
      </c>
      <c r="B530" s="2" t="s">
        <v>60</v>
      </c>
      <c r="C530" t="s">
        <v>108</v>
      </c>
      <c r="D530" t="s">
        <v>207</v>
      </c>
      <c r="E530" s="2">
        <v>45794</v>
      </c>
      <c r="F530" s="2" cm="1">
        <f t="array" ref="F530">_xlfn.IFS(B530="Owner Surrender",E530,B530="Stray",E530+6,B530="Stray w/identification",E530+11,B530="Bite",E530+10,B530="Other",E530+30,B530="BAS",E530+56,B530="Seized",E530)</f>
        <v>45824</v>
      </c>
      <c r="G530" s="2">
        <v>45845</v>
      </c>
      <c r="H530" s="5">
        <f t="shared" si="24"/>
        <v>51</v>
      </c>
      <c r="J530" s="2" t="s">
        <v>8</v>
      </c>
      <c r="K530" s="2" t="s">
        <v>586</v>
      </c>
      <c r="M530" t="s">
        <v>109</v>
      </c>
      <c r="AD530" s="33" t="str">
        <f t="shared" si="26"/>
        <v>Monday</v>
      </c>
    </row>
    <row r="531" spans="1:30" x14ac:dyDescent="0.2">
      <c r="A531" s="23">
        <v>40450</v>
      </c>
      <c r="B531" s="2" t="s">
        <v>179</v>
      </c>
      <c r="C531" t="s">
        <v>148</v>
      </c>
      <c r="D531" t="s">
        <v>207</v>
      </c>
      <c r="E531" s="2">
        <v>45795</v>
      </c>
      <c r="F531" s="2" cm="1">
        <f t="array" ref="F531">_xlfn.IFS(B531="Owner Surrender",E531,B531="Stray",E531+6,B531="Stray w/identification",E531+11,B531="Bite",E531+10,B531="Other",E531+30,B531="BAS",E531+56,B531="Seized",E531)</f>
        <v>45806</v>
      </c>
      <c r="G531" s="2">
        <v>45807</v>
      </c>
      <c r="H531" s="5">
        <f t="shared" si="24"/>
        <v>12</v>
      </c>
      <c r="I531" s="5">
        <f t="shared" ref="I531:I562" si="27">G531-F531</f>
        <v>1</v>
      </c>
      <c r="J531" s="2" t="s">
        <v>31</v>
      </c>
      <c r="K531" s="2" t="s">
        <v>587</v>
      </c>
      <c r="AD531" s="33" t="str">
        <f t="shared" si="26"/>
        <v>Friday</v>
      </c>
    </row>
    <row r="532" spans="1:30" x14ac:dyDescent="0.2">
      <c r="A532" s="23">
        <v>40453</v>
      </c>
      <c r="B532" s="2" t="s">
        <v>36</v>
      </c>
      <c r="C532" t="s">
        <v>49</v>
      </c>
      <c r="D532" t="s">
        <v>207</v>
      </c>
      <c r="E532" s="2">
        <v>45796</v>
      </c>
      <c r="F532" s="2" cm="1">
        <f t="array" ref="F532">_xlfn.IFS(B532="Owner Surrender",E532,B532="Stray",E532+6,B532="Stray w/identification",E532+11,B532="Bite",E532+10,B532="Other",E532+30,B532="BAS",E532+56,B532="Seized",E532)</f>
        <v>45796</v>
      </c>
      <c r="G532" s="2">
        <v>45807</v>
      </c>
      <c r="H532" s="5">
        <f t="shared" si="24"/>
        <v>11</v>
      </c>
      <c r="I532" s="5">
        <f t="shared" si="27"/>
        <v>11</v>
      </c>
      <c r="J532" s="2" t="s">
        <v>31</v>
      </c>
      <c r="K532" s="2" t="s">
        <v>594</v>
      </c>
      <c r="M532" t="s">
        <v>554</v>
      </c>
      <c r="AD532" s="33" t="str">
        <f t="shared" si="26"/>
        <v>Friday</v>
      </c>
    </row>
    <row r="533" spans="1:30" x14ac:dyDescent="0.2">
      <c r="A533" s="23">
        <v>40460</v>
      </c>
      <c r="B533" s="2" t="s">
        <v>36</v>
      </c>
      <c r="C533" t="s">
        <v>83</v>
      </c>
      <c r="D533" t="s">
        <v>207</v>
      </c>
      <c r="E533" s="2">
        <v>45796</v>
      </c>
      <c r="F533" s="2" cm="1">
        <f t="array" ref="F533">_xlfn.IFS(B533="Owner Surrender",E533,B533="Stray",E533+6,B533="Stray w/identification",E533+11,B533="Bite",E533+10,B533="Other",E533+30,B533="BAS",E533+56,B533="Seized",E533)</f>
        <v>45796</v>
      </c>
      <c r="G533" s="2">
        <v>45805</v>
      </c>
      <c r="H533" s="5">
        <f t="shared" si="24"/>
        <v>9</v>
      </c>
      <c r="I533" s="5">
        <f t="shared" si="27"/>
        <v>9</v>
      </c>
      <c r="J533" s="2" t="s">
        <v>31</v>
      </c>
      <c r="K533" s="2" t="s">
        <v>587</v>
      </c>
      <c r="AD533" s="33" t="str">
        <f t="shared" si="26"/>
        <v>Wednesday</v>
      </c>
    </row>
    <row r="534" spans="1:30" x14ac:dyDescent="0.2">
      <c r="A534" s="23">
        <v>40461</v>
      </c>
      <c r="B534" s="2" t="s">
        <v>36</v>
      </c>
      <c r="C534" t="s">
        <v>553</v>
      </c>
      <c r="D534" t="s">
        <v>207</v>
      </c>
      <c r="E534" s="2">
        <v>45796</v>
      </c>
      <c r="F534" s="2" cm="1">
        <f t="array" ref="F534">_xlfn.IFS(B534="Owner Surrender",E534,B534="Stray",E534+6,B534="Stray w/identification",E534+11,B534="Bite",E534+10,B534="Other",E534+30,B534="BAS",E534+56,B534="Seized",E534)</f>
        <v>45796</v>
      </c>
      <c r="G534" s="2">
        <v>45801</v>
      </c>
      <c r="H534" s="5">
        <f t="shared" si="24"/>
        <v>5</v>
      </c>
      <c r="I534" s="5">
        <f t="shared" si="27"/>
        <v>5</v>
      </c>
      <c r="J534" s="2" t="s">
        <v>11</v>
      </c>
      <c r="K534" s="2" t="s">
        <v>586</v>
      </c>
      <c r="AD534" s="33" t="str">
        <f t="shared" si="26"/>
        <v>Saturday</v>
      </c>
    </row>
    <row r="535" spans="1:30" x14ac:dyDescent="0.2">
      <c r="A535" s="23">
        <v>40462</v>
      </c>
      <c r="B535" s="2" t="s">
        <v>36</v>
      </c>
      <c r="C535" t="s">
        <v>161</v>
      </c>
      <c r="D535" t="s">
        <v>207</v>
      </c>
      <c r="E535" s="2">
        <v>45796</v>
      </c>
      <c r="F535" s="2" cm="1">
        <f t="array" ref="F535">_xlfn.IFS(B535="Owner Surrender",E535,B535="Stray",E535+6,B535="Stray w/identification",E535+11,B535="Bite",E535+10,B535="Other",E535+30,B535="BAS",E535+56,B535="Seized",E535)</f>
        <v>45796</v>
      </c>
      <c r="G535" s="2">
        <v>45805</v>
      </c>
      <c r="H535" s="5">
        <f t="shared" si="24"/>
        <v>9</v>
      </c>
      <c r="I535" s="5">
        <f t="shared" si="27"/>
        <v>9</v>
      </c>
      <c r="J535" s="2" t="s">
        <v>31</v>
      </c>
      <c r="K535" s="2" t="s">
        <v>587</v>
      </c>
      <c r="AD535" s="33" t="str">
        <f t="shared" si="26"/>
        <v>Wednesday</v>
      </c>
    </row>
    <row r="536" spans="1:30" x14ac:dyDescent="0.2">
      <c r="A536" s="23">
        <v>40463</v>
      </c>
      <c r="B536" s="2" t="s">
        <v>38</v>
      </c>
      <c r="C536" t="s">
        <v>48</v>
      </c>
      <c r="D536" t="s">
        <v>207</v>
      </c>
      <c r="E536" s="2">
        <v>45797</v>
      </c>
      <c r="F536" s="2" cm="1">
        <f t="array" ref="F536">_xlfn.IFS(B536="Owner Surrender",E536,B536="Stray",E536+6,B536="Stray w/identification",E536+11,B536="Bite",E536+10,B536="Other",E536+30,B536="BAS",E536+56,B536="Seized",E536)</f>
        <v>45803</v>
      </c>
      <c r="G536" s="2">
        <v>45797</v>
      </c>
      <c r="H536" s="5">
        <f t="shared" si="24"/>
        <v>0</v>
      </c>
      <c r="I536" s="5">
        <f t="shared" si="27"/>
        <v>-6</v>
      </c>
      <c r="J536" s="2" t="s">
        <v>8</v>
      </c>
      <c r="K536" s="2" t="s">
        <v>586</v>
      </c>
      <c r="AD536" s="33" t="str">
        <f t="shared" si="26"/>
        <v>Tuesday</v>
      </c>
    </row>
    <row r="537" spans="1:30" x14ac:dyDescent="0.2">
      <c r="A537" s="23">
        <v>40468</v>
      </c>
      <c r="B537" s="2" t="s">
        <v>36</v>
      </c>
      <c r="C537" t="s">
        <v>512</v>
      </c>
      <c r="D537" t="s">
        <v>209</v>
      </c>
      <c r="E537" s="2">
        <v>45797</v>
      </c>
      <c r="F537" s="2" cm="1">
        <f t="array" ref="F537">_xlfn.IFS(B537="Owner Surrender",E537,B537="Stray",E537+6,B537="Stray w/identification",E537+11,B537="Bite",E537+10,B537="Other",E537+30,B537="BAS",E537+56,B537="Seized",E537)</f>
        <v>45797</v>
      </c>
      <c r="G537" s="2">
        <v>45812</v>
      </c>
      <c r="H537" s="5">
        <f t="shared" si="24"/>
        <v>15</v>
      </c>
      <c r="I537" s="5">
        <f t="shared" si="27"/>
        <v>15</v>
      </c>
      <c r="J537" s="2" t="s">
        <v>31</v>
      </c>
      <c r="K537" s="2" t="s">
        <v>587</v>
      </c>
      <c r="L537" t="s">
        <v>502</v>
      </c>
      <c r="AD537" s="33" t="str">
        <f t="shared" si="26"/>
        <v>Wednesday</v>
      </c>
    </row>
    <row r="538" spans="1:30" x14ac:dyDescent="0.2">
      <c r="A538" s="23">
        <v>40469</v>
      </c>
      <c r="B538" s="2" t="s">
        <v>38</v>
      </c>
      <c r="C538" t="s">
        <v>148</v>
      </c>
      <c r="D538" t="s">
        <v>207</v>
      </c>
      <c r="E538" s="2">
        <v>45797</v>
      </c>
      <c r="F538" s="2" cm="1">
        <f t="array" ref="F538">_xlfn.IFS(B538="Owner Surrender",E538,B538="Stray",E538+6,B538="Stray w/identification",E538+11,B538="Bite",E538+10,B538="Other",E538+30,B538="BAS",E538+56,B538="Seized",E538)</f>
        <v>45803</v>
      </c>
      <c r="G538" s="2">
        <v>45797</v>
      </c>
      <c r="H538" s="5">
        <f t="shared" si="24"/>
        <v>0</v>
      </c>
      <c r="I538" s="5">
        <f t="shared" si="27"/>
        <v>-6</v>
      </c>
      <c r="J538" s="2" t="s">
        <v>8</v>
      </c>
      <c r="K538" s="2" t="s">
        <v>586</v>
      </c>
      <c r="AD538" s="33" t="str">
        <f t="shared" si="26"/>
        <v>Tuesday</v>
      </c>
    </row>
    <row r="539" spans="1:30" x14ac:dyDescent="0.2">
      <c r="A539" s="23">
        <v>40474</v>
      </c>
      <c r="B539" s="2" t="s">
        <v>36</v>
      </c>
      <c r="C539" t="s">
        <v>48</v>
      </c>
      <c r="D539" t="s">
        <v>207</v>
      </c>
      <c r="E539" s="2">
        <v>45797</v>
      </c>
      <c r="F539" s="2" cm="1">
        <f t="array" ref="F539">_xlfn.IFS(B539="Owner Surrender",E539,B539="Stray",E539+6,B539="Stray w/identification",E539+11,B539="Bite",E539+10,B539="Other",E539+30,B539="BAS",E539+56,B539="Seized",E539)</f>
        <v>45797</v>
      </c>
      <c r="G539" s="2">
        <v>45807</v>
      </c>
      <c r="H539" s="5">
        <f t="shared" si="24"/>
        <v>10</v>
      </c>
      <c r="I539" s="5">
        <f t="shared" si="27"/>
        <v>10</v>
      </c>
      <c r="J539" s="2" t="s">
        <v>31</v>
      </c>
      <c r="K539" s="2" t="s">
        <v>587</v>
      </c>
      <c r="L539" t="s">
        <v>552</v>
      </c>
      <c r="AD539" s="33" t="str">
        <f t="shared" si="26"/>
        <v>Friday</v>
      </c>
    </row>
    <row r="540" spans="1:30" x14ac:dyDescent="0.2">
      <c r="A540" s="23">
        <v>40475</v>
      </c>
      <c r="B540" s="2" t="s">
        <v>179</v>
      </c>
      <c r="C540" t="s">
        <v>49</v>
      </c>
      <c r="D540" t="s">
        <v>207</v>
      </c>
      <c r="E540" s="2">
        <v>45798</v>
      </c>
      <c r="F540" s="2" cm="1">
        <f t="array" ref="F540">_xlfn.IFS(B540="Owner Surrender",E540,B540="Stray",E540+6,B540="Stray w/identification",E540+11,B540="Bite",E540+10,B540="Other",E540+30,B540="BAS",E540+56,B540="Seized",E540)</f>
        <v>45809</v>
      </c>
      <c r="G540" s="2">
        <v>45812</v>
      </c>
      <c r="H540" s="5">
        <f t="shared" si="24"/>
        <v>14</v>
      </c>
      <c r="I540" s="5">
        <f t="shared" si="27"/>
        <v>3</v>
      </c>
      <c r="J540" s="2" t="s">
        <v>31</v>
      </c>
      <c r="K540" s="2" t="s">
        <v>587</v>
      </c>
      <c r="AD540" s="33" t="str">
        <f t="shared" si="26"/>
        <v>Wednesday</v>
      </c>
    </row>
    <row r="541" spans="1:30" x14ac:dyDescent="0.2">
      <c r="A541" s="23">
        <v>40480</v>
      </c>
      <c r="B541" s="2" t="s">
        <v>36</v>
      </c>
      <c r="C541" t="s">
        <v>148</v>
      </c>
      <c r="D541" t="s">
        <v>209</v>
      </c>
      <c r="E541" s="2">
        <v>45798</v>
      </c>
      <c r="F541" s="2" cm="1">
        <f t="array" ref="F541">_xlfn.IFS(B541="Owner Surrender",E541,B541="Stray",E541+6,B541="Stray w/identification",E541+11,B541="Bite",E541+10,B541="Other",E541+30,B541="BAS",E541+56,B541="Seized",E541)</f>
        <v>45798</v>
      </c>
      <c r="G541" s="2">
        <v>45807</v>
      </c>
      <c r="H541" s="5">
        <f t="shared" si="24"/>
        <v>9</v>
      </c>
      <c r="I541" s="5">
        <f t="shared" si="27"/>
        <v>9</v>
      </c>
      <c r="J541" s="2" t="s">
        <v>31</v>
      </c>
      <c r="K541" s="2" t="s">
        <v>587</v>
      </c>
      <c r="L541" t="s">
        <v>153</v>
      </c>
      <c r="AD541" s="33" t="str">
        <f t="shared" si="26"/>
        <v>Friday</v>
      </c>
    </row>
    <row r="542" spans="1:30" x14ac:dyDescent="0.2">
      <c r="A542" s="23">
        <v>40486</v>
      </c>
      <c r="B542" s="2" t="s">
        <v>36</v>
      </c>
      <c r="C542" t="s">
        <v>56</v>
      </c>
      <c r="D542" t="s">
        <v>208</v>
      </c>
      <c r="E542" s="2">
        <v>45798</v>
      </c>
      <c r="F542" s="2" cm="1">
        <f t="array" ref="F542">_xlfn.IFS(B542="Owner Surrender",E542,B542="Stray",E542+6,B542="Stray w/identification",E542+11,B542="Bite",E542+10,B542="Other",E542+30,B542="BAS",E542+56,B542="Seized",E542)</f>
        <v>45798</v>
      </c>
      <c r="G542" s="2">
        <v>45807</v>
      </c>
      <c r="H542" s="5">
        <f t="shared" si="24"/>
        <v>9</v>
      </c>
      <c r="I542" s="5">
        <f t="shared" si="27"/>
        <v>9</v>
      </c>
      <c r="J542" s="2" t="s">
        <v>11</v>
      </c>
      <c r="K542" s="2" t="s">
        <v>586</v>
      </c>
      <c r="AD542" s="33" t="str">
        <f t="shared" si="26"/>
        <v>Friday</v>
      </c>
    </row>
    <row r="543" spans="1:30" x14ac:dyDescent="0.2">
      <c r="A543" s="23">
        <v>40487</v>
      </c>
      <c r="B543" s="2" t="s">
        <v>179</v>
      </c>
      <c r="C543" t="s">
        <v>141</v>
      </c>
      <c r="D543" t="s">
        <v>210</v>
      </c>
      <c r="E543" s="2">
        <v>45798</v>
      </c>
      <c r="F543" s="2" cm="1">
        <f t="array" ref="F543">_xlfn.IFS(B543="Owner Surrender",E543,B543="Stray",E543+6,B543="Stray w/identification",E543+11,B543="Bite",E543+10,B543="Other",E543+30,B543="BAS",E543+56,B543="Seized",E543)</f>
        <v>45809</v>
      </c>
      <c r="G543" s="2">
        <v>45799</v>
      </c>
      <c r="H543" s="5">
        <f t="shared" si="24"/>
        <v>1</v>
      </c>
      <c r="I543" s="5">
        <f t="shared" si="27"/>
        <v>-10</v>
      </c>
      <c r="J543" s="2" t="s">
        <v>8</v>
      </c>
      <c r="K543" s="2" t="s">
        <v>586</v>
      </c>
      <c r="AD543" s="33" t="str">
        <f t="shared" si="26"/>
        <v>Thursday</v>
      </c>
    </row>
    <row r="544" spans="1:30" x14ac:dyDescent="0.2">
      <c r="A544" s="23">
        <v>40488</v>
      </c>
      <c r="B544" s="2" t="s">
        <v>179</v>
      </c>
      <c r="C544" t="s">
        <v>72</v>
      </c>
      <c r="D544" t="s">
        <v>207</v>
      </c>
      <c r="E544" s="2">
        <v>45798</v>
      </c>
      <c r="F544" s="2" cm="1">
        <f t="array" ref="F544">_xlfn.IFS(B544="Owner Surrender",E544,B544="Stray",E544+6,B544="Stray w/identification",E544+11,B544="Bite",E544+10,B544="Other",E544+30,B544="BAS",E544+56,B544="Seized",E544)</f>
        <v>45809</v>
      </c>
      <c r="G544" s="2">
        <v>45812</v>
      </c>
      <c r="H544" s="5">
        <f t="shared" si="24"/>
        <v>14</v>
      </c>
      <c r="I544" s="5">
        <f t="shared" si="27"/>
        <v>3</v>
      </c>
      <c r="J544" s="2" t="s">
        <v>31</v>
      </c>
      <c r="K544" s="2" t="s">
        <v>587</v>
      </c>
      <c r="AD544" s="33" t="str">
        <f t="shared" si="26"/>
        <v>Wednesday</v>
      </c>
    </row>
    <row r="545" spans="1:30" x14ac:dyDescent="0.2">
      <c r="A545" s="23">
        <v>40496</v>
      </c>
      <c r="B545" s="2" t="s">
        <v>179</v>
      </c>
      <c r="C545" t="s">
        <v>108</v>
      </c>
      <c r="D545" t="s">
        <v>207</v>
      </c>
      <c r="E545" s="2">
        <v>45800</v>
      </c>
      <c r="F545" s="2" cm="1">
        <f t="array" ref="F545">_xlfn.IFS(B545="Owner Surrender",E545,B545="Stray",E545+6,B545="Stray w/identification",E545+11,B545="Bite",E545+10,B545="Other",E545+30,B545="BAS",E545+56,B545="Seized",E545)</f>
        <v>45811</v>
      </c>
      <c r="G545" s="2">
        <v>45800</v>
      </c>
      <c r="H545" s="5">
        <f t="shared" si="24"/>
        <v>0</v>
      </c>
      <c r="I545" s="5">
        <f t="shared" si="27"/>
        <v>-11</v>
      </c>
      <c r="J545" s="2" t="s">
        <v>8</v>
      </c>
      <c r="K545" s="2" t="s">
        <v>586</v>
      </c>
      <c r="AD545" s="33" t="str">
        <f t="shared" si="26"/>
        <v>Friday</v>
      </c>
    </row>
    <row r="546" spans="1:30" x14ac:dyDescent="0.2">
      <c r="A546" s="23">
        <v>40497</v>
      </c>
      <c r="B546" s="2" t="s">
        <v>60</v>
      </c>
      <c r="C546" t="s">
        <v>70</v>
      </c>
      <c r="D546" t="s">
        <v>210</v>
      </c>
      <c r="E546" s="2">
        <v>45800</v>
      </c>
      <c r="F546" s="2" cm="1">
        <f t="array" ref="F546">_xlfn.IFS(B546="Owner Surrender",E546,B546="Stray",E546+6,B546="Stray w/identification",E546+11,B546="Bite",E546+10,B546="Other",E546+30,B546="BAS",E546+56,B546="Seized",E546)</f>
        <v>45830</v>
      </c>
      <c r="G546" s="2">
        <v>45811</v>
      </c>
      <c r="H546" s="5">
        <f t="shared" si="24"/>
        <v>11</v>
      </c>
      <c r="I546" s="5">
        <f t="shared" si="27"/>
        <v>-19</v>
      </c>
      <c r="J546" s="2" t="s">
        <v>8</v>
      </c>
      <c r="K546" s="2" t="s">
        <v>586</v>
      </c>
      <c r="AD546" s="33" t="str">
        <f t="shared" si="26"/>
        <v>Tuesday</v>
      </c>
    </row>
    <row r="547" spans="1:30" x14ac:dyDescent="0.2">
      <c r="A547" s="23">
        <v>40499</v>
      </c>
      <c r="B547" s="2" t="s">
        <v>179</v>
      </c>
      <c r="C547" t="s">
        <v>78</v>
      </c>
      <c r="D547" t="s">
        <v>207</v>
      </c>
      <c r="E547" s="2">
        <v>45799</v>
      </c>
      <c r="F547" s="2" cm="1">
        <f t="array" ref="F547">_xlfn.IFS(B547="Owner Surrender",E547,B547="Stray",E547+6,B547="Stray w/identification",E547+11,B547="Bite",E547+10,B547="Other",E547+30,B547="BAS",E547+56,B547="Seized",E547)</f>
        <v>45810</v>
      </c>
      <c r="G547" s="2">
        <v>45822</v>
      </c>
      <c r="H547" s="5">
        <f t="shared" si="24"/>
        <v>23</v>
      </c>
      <c r="I547" s="5">
        <f t="shared" si="27"/>
        <v>12</v>
      </c>
      <c r="J547" s="2" t="s">
        <v>8</v>
      </c>
      <c r="K547" s="2" t="s">
        <v>586</v>
      </c>
      <c r="AD547" s="33" t="str">
        <f t="shared" si="26"/>
        <v>Saturday</v>
      </c>
    </row>
    <row r="548" spans="1:30" x14ac:dyDescent="0.2">
      <c r="A548" s="23">
        <v>40500</v>
      </c>
      <c r="B548" s="2" t="s">
        <v>38</v>
      </c>
      <c r="C548" t="s">
        <v>55</v>
      </c>
      <c r="D548" t="s">
        <v>207</v>
      </c>
      <c r="E548" s="2">
        <v>45799</v>
      </c>
      <c r="F548" s="2" cm="1">
        <f t="array" ref="F548">_xlfn.IFS(B548="Owner Surrender",E548,B548="Stray",E548+6,B548="Stray w/identification",E548+11,B548="Bite",E548+10,B548="Other",E548+30,B548="BAS",E548+56,B548="Seized",E548)</f>
        <v>45805</v>
      </c>
      <c r="G548" s="2">
        <v>45822</v>
      </c>
      <c r="H548" s="5">
        <f t="shared" si="24"/>
        <v>23</v>
      </c>
      <c r="I548" s="5">
        <f t="shared" si="27"/>
        <v>17</v>
      </c>
      <c r="J548" s="2" t="s">
        <v>8</v>
      </c>
      <c r="K548" s="2" t="s">
        <v>586</v>
      </c>
      <c r="L548" t="s">
        <v>153</v>
      </c>
      <c r="AD548" s="33" t="str">
        <f t="shared" si="26"/>
        <v>Saturday</v>
      </c>
    </row>
    <row r="549" spans="1:30" x14ac:dyDescent="0.2">
      <c r="A549" s="23">
        <v>40526</v>
      </c>
      <c r="B549" s="2" t="s">
        <v>36</v>
      </c>
      <c r="C549" t="s">
        <v>551</v>
      </c>
      <c r="D549" t="s">
        <v>207</v>
      </c>
      <c r="E549" s="2">
        <v>45804</v>
      </c>
      <c r="F549" s="2" cm="1">
        <f t="array" ref="F549">_xlfn.IFS(B549="Owner Surrender",E549,B549="Stray",E549+6,B549="Stray w/identification",E549+11,B549="Bite",E549+10,B549="Other",E549+30,B549="BAS",E549+56,B549="Seized",E549)</f>
        <v>45804</v>
      </c>
      <c r="G549" s="2">
        <v>45807</v>
      </c>
      <c r="H549" s="5">
        <f t="shared" si="24"/>
        <v>3</v>
      </c>
      <c r="I549" s="5">
        <f t="shared" si="27"/>
        <v>3</v>
      </c>
      <c r="J549" s="2" t="s">
        <v>11</v>
      </c>
      <c r="K549" s="2" t="s">
        <v>586</v>
      </c>
      <c r="L549" t="s">
        <v>151</v>
      </c>
      <c r="AD549" s="33" t="str">
        <f t="shared" si="26"/>
        <v>Friday</v>
      </c>
    </row>
    <row r="550" spans="1:30" x14ac:dyDescent="0.2">
      <c r="A550" s="23">
        <v>40528</v>
      </c>
      <c r="B550" s="2" t="s">
        <v>36</v>
      </c>
      <c r="C550" t="s">
        <v>108</v>
      </c>
      <c r="D550" t="s">
        <v>208</v>
      </c>
      <c r="E550" s="2">
        <v>45803</v>
      </c>
      <c r="F550" s="2" cm="1">
        <f t="array" ref="F550">_xlfn.IFS(B550="Owner Surrender",E550,B550="Stray",E550+6,B550="Stray w/identification",E550+11,B550="Bite",E550+10,B550="Other",E550+30,B550="BAS",E550+56,B550="Seized",E550)</f>
        <v>45803</v>
      </c>
      <c r="G550" s="2">
        <v>45828</v>
      </c>
      <c r="H550" s="5">
        <f t="shared" si="24"/>
        <v>25</v>
      </c>
      <c r="I550" s="5">
        <f t="shared" si="27"/>
        <v>25</v>
      </c>
      <c r="J550" s="2" t="s">
        <v>11</v>
      </c>
      <c r="K550" s="2" t="s">
        <v>586</v>
      </c>
      <c r="L550" t="s">
        <v>502</v>
      </c>
      <c r="AD550" s="33" t="str">
        <f t="shared" si="26"/>
        <v>Friday</v>
      </c>
    </row>
    <row r="551" spans="1:30" x14ac:dyDescent="0.2">
      <c r="A551" s="23">
        <v>40533</v>
      </c>
      <c r="B551" s="2" t="s">
        <v>38</v>
      </c>
      <c r="C551" t="s">
        <v>494</v>
      </c>
      <c r="D551" t="s">
        <v>208</v>
      </c>
      <c r="E551" s="2">
        <v>45802</v>
      </c>
      <c r="F551" s="2" cm="1">
        <f t="array" ref="F551">_xlfn.IFS(B551="Owner Surrender",E551,B551="Stray",E551+6,B551="Stray w/identification",E551+11,B551="Bite",E551+10,B551="Other",E551+30,B551="BAS",E551+56,B551="Seized",E551)</f>
        <v>45808</v>
      </c>
      <c r="G551" s="2">
        <v>45814</v>
      </c>
      <c r="H551" s="5">
        <f t="shared" si="24"/>
        <v>12</v>
      </c>
      <c r="I551" s="5">
        <f t="shared" si="27"/>
        <v>6</v>
      </c>
      <c r="J551" s="2" t="s">
        <v>31</v>
      </c>
      <c r="K551" s="2" t="s">
        <v>587</v>
      </c>
      <c r="AD551" s="33" t="str">
        <f t="shared" si="26"/>
        <v>Friday</v>
      </c>
    </row>
    <row r="552" spans="1:30" x14ac:dyDescent="0.2">
      <c r="A552" s="23">
        <v>40534</v>
      </c>
      <c r="B552" s="2" t="s">
        <v>38</v>
      </c>
      <c r="C552" t="s">
        <v>494</v>
      </c>
      <c r="D552" t="s">
        <v>208</v>
      </c>
      <c r="E552" s="2">
        <v>45802</v>
      </c>
      <c r="F552" s="2" cm="1">
        <f t="array" ref="F552">_xlfn.IFS(B552="Owner Surrender",E552,B552="Stray",E552+6,B552="Stray w/identification",E552+11,B552="Bite",E552+10,B552="Other",E552+30,B552="BAS",E552+56,B552="Seized",E552)</f>
        <v>45808</v>
      </c>
      <c r="G552" s="2">
        <v>45814</v>
      </c>
      <c r="H552" s="5">
        <f t="shared" si="24"/>
        <v>12</v>
      </c>
      <c r="I552" s="5">
        <f t="shared" si="27"/>
        <v>6</v>
      </c>
      <c r="J552" s="2" t="s">
        <v>31</v>
      </c>
      <c r="K552" s="2" t="s">
        <v>587</v>
      </c>
      <c r="AD552" s="33" t="str">
        <f t="shared" si="26"/>
        <v>Friday</v>
      </c>
    </row>
    <row r="553" spans="1:30" x14ac:dyDescent="0.2">
      <c r="A553" s="23">
        <v>40535</v>
      </c>
      <c r="B553" s="2" t="s">
        <v>38</v>
      </c>
      <c r="C553" t="s">
        <v>494</v>
      </c>
      <c r="D553" t="s">
        <v>208</v>
      </c>
      <c r="E553" s="2">
        <v>45802</v>
      </c>
      <c r="F553" s="2" cm="1">
        <f t="array" ref="F553">_xlfn.IFS(B553="Owner Surrender",E553,B553="Stray",E553+6,B553="Stray w/identification",E553+11,B553="Bite",E553+10,B553="Other",E553+30,B553="BAS",E553+56,B553="Seized",E553)</f>
        <v>45808</v>
      </c>
      <c r="G553" s="2">
        <v>45814</v>
      </c>
      <c r="H553" s="5">
        <f t="shared" si="24"/>
        <v>12</v>
      </c>
      <c r="I553" s="5">
        <f t="shared" si="27"/>
        <v>6</v>
      </c>
      <c r="J553" s="2" t="s">
        <v>31</v>
      </c>
      <c r="K553" s="2" t="s">
        <v>587</v>
      </c>
      <c r="AD553" s="33" t="str">
        <f t="shared" si="26"/>
        <v>Friday</v>
      </c>
    </row>
    <row r="554" spans="1:30" x14ac:dyDescent="0.2">
      <c r="A554" s="23">
        <v>40536</v>
      </c>
      <c r="B554" s="2" t="s">
        <v>38</v>
      </c>
      <c r="C554" t="s">
        <v>494</v>
      </c>
      <c r="D554" t="s">
        <v>208</v>
      </c>
      <c r="E554" s="2">
        <v>45802</v>
      </c>
      <c r="F554" s="2" cm="1">
        <f t="array" ref="F554">_xlfn.IFS(B554="Owner Surrender",E554,B554="Stray",E554+6,B554="Stray w/identification",E554+11,B554="Bite",E554+10,B554="Other",E554+30,B554="BAS",E554+56,B554="Seized",E554)</f>
        <v>45808</v>
      </c>
      <c r="G554" s="2">
        <v>45814</v>
      </c>
      <c r="H554" s="5">
        <f t="shared" si="24"/>
        <v>12</v>
      </c>
      <c r="I554" s="5">
        <f t="shared" si="27"/>
        <v>6</v>
      </c>
      <c r="J554" s="2" t="s">
        <v>31</v>
      </c>
      <c r="K554" s="2" t="s">
        <v>587</v>
      </c>
      <c r="AD554" s="33" t="str">
        <f t="shared" si="26"/>
        <v>Friday</v>
      </c>
    </row>
    <row r="555" spans="1:30" x14ac:dyDescent="0.2">
      <c r="A555" s="23">
        <v>40537</v>
      </c>
      <c r="B555" s="2" t="s">
        <v>38</v>
      </c>
      <c r="C555" t="s">
        <v>494</v>
      </c>
      <c r="D555" t="s">
        <v>208</v>
      </c>
      <c r="E555" s="2">
        <v>45802</v>
      </c>
      <c r="F555" s="2" cm="1">
        <f t="array" ref="F555">_xlfn.IFS(B555="Owner Surrender",E555,B555="Stray",E555+6,B555="Stray w/identification",E555+11,B555="Bite",E555+10,B555="Other",E555+30,B555="BAS",E555+56,B555="Seized",E555)</f>
        <v>45808</v>
      </c>
      <c r="G555" s="2">
        <v>45814</v>
      </c>
      <c r="H555" s="5">
        <f t="shared" si="24"/>
        <v>12</v>
      </c>
      <c r="I555" s="5">
        <f t="shared" si="27"/>
        <v>6</v>
      </c>
      <c r="J555" s="2" t="s">
        <v>31</v>
      </c>
      <c r="K555" s="2" t="s">
        <v>587</v>
      </c>
      <c r="AD555" s="33" t="str">
        <f t="shared" si="26"/>
        <v>Friday</v>
      </c>
    </row>
    <row r="556" spans="1:30" x14ac:dyDescent="0.2">
      <c r="A556" s="23">
        <v>40538</v>
      </c>
      <c r="B556" s="2" t="s">
        <v>36</v>
      </c>
      <c r="C556" t="s">
        <v>72</v>
      </c>
      <c r="D556" t="s">
        <v>209</v>
      </c>
      <c r="E556" s="2">
        <v>45804</v>
      </c>
      <c r="F556" s="2" cm="1">
        <f t="array" ref="F556">_xlfn.IFS(B556="Owner Surrender",E556,B556="Stray",E556+6,B556="Stray w/identification",E556+11,B556="Bite",E556+10,B556="Other",E556+30,B556="BAS",E556+56,B556="Seized",E556)</f>
        <v>45804</v>
      </c>
      <c r="G556" s="2">
        <v>45814</v>
      </c>
      <c r="H556" s="5">
        <f t="shared" si="24"/>
        <v>10</v>
      </c>
      <c r="I556" s="5">
        <f t="shared" si="27"/>
        <v>10</v>
      </c>
      <c r="J556" s="2" t="s">
        <v>31</v>
      </c>
      <c r="K556" s="2" t="s">
        <v>587</v>
      </c>
      <c r="L556" t="s">
        <v>465</v>
      </c>
      <c r="AD556" s="33" t="str">
        <f t="shared" si="26"/>
        <v>Friday</v>
      </c>
    </row>
    <row r="557" spans="1:30" x14ac:dyDescent="0.2">
      <c r="A557" s="23">
        <v>40702</v>
      </c>
      <c r="B557" s="2" t="s">
        <v>38</v>
      </c>
      <c r="C557" t="s">
        <v>87</v>
      </c>
      <c r="D557" t="s">
        <v>208</v>
      </c>
      <c r="E557" s="2">
        <v>45805</v>
      </c>
      <c r="F557" s="2" cm="1">
        <f t="array" ref="F557">_xlfn.IFS(B557="Owner Surrender",E557,B557="Stray",E557+6,B557="Stray w/identification",E557+11,B557="Bite",E557+10,B557="Other",E557+30,B557="BAS",E557+56,B557="Seized",E557)</f>
        <v>45811</v>
      </c>
      <c r="G557" s="2">
        <v>45825</v>
      </c>
      <c r="H557" s="5">
        <f t="shared" si="24"/>
        <v>20</v>
      </c>
      <c r="I557" s="5">
        <f t="shared" si="27"/>
        <v>14</v>
      </c>
      <c r="J557" s="2" t="s">
        <v>11</v>
      </c>
      <c r="K557" s="2" t="s">
        <v>586</v>
      </c>
      <c r="L557" t="s">
        <v>559</v>
      </c>
      <c r="AD557" s="33" t="str">
        <f t="shared" si="26"/>
        <v>Tuesday</v>
      </c>
    </row>
    <row r="558" spans="1:30" x14ac:dyDescent="0.2">
      <c r="A558" s="23">
        <v>40709</v>
      </c>
      <c r="B558" s="2" t="s">
        <v>179</v>
      </c>
      <c r="C558" t="s">
        <v>72</v>
      </c>
      <c r="D558" t="s">
        <v>209</v>
      </c>
      <c r="E558" s="2">
        <v>45805</v>
      </c>
      <c r="F558" s="2" cm="1">
        <f t="array" ref="F558">_xlfn.IFS(B558="Owner Surrender",E558,B558="Stray",E558+6,B558="Stray w/identification",E558+11,B558="Bite",E558+10,B558="Other",E558+30,B558="BAS",E558+56,B558="Seized",E558)</f>
        <v>45816</v>
      </c>
      <c r="G558" s="2">
        <v>45818</v>
      </c>
      <c r="H558" s="5">
        <f t="shared" si="24"/>
        <v>13</v>
      </c>
      <c r="I558" s="5">
        <f t="shared" si="27"/>
        <v>2</v>
      </c>
      <c r="J558" s="2" t="s">
        <v>31</v>
      </c>
      <c r="K558" s="2" t="s">
        <v>587</v>
      </c>
      <c r="L558" t="s">
        <v>558</v>
      </c>
      <c r="AD558" s="33" t="str">
        <f t="shared" si="26"/>
        <v>Tuesday</v>
      </c>
    </row>
    <row r="559" spans="1:30" x14ac:dyDescent="0.2">
      <c r="A559" s="23">
        <v>40719</v>
      </c>
      <c r="B559" s="2" t="s">
        <v>38</v>
      </c>
      <c r="C559" t="s">
        <v>49</v>
      </c>
      <c r="D559" t="s">
        <v>208</v>
      </c>
      <c r="E559" s="2">
        <v>45806</v>
      </c>
      <c r="F559" s="2" cm="1">
        <f t="array" ref="F559">_xlfn.IFS(B559="Owner Surrender",E559,B559="Stray",E559+6,B559="Stray w/identification",E559+11,B559="Bite",E559+10,B559="Other",E559+30,B559="BAS",E559+56,B559="Seized",E559)</f>
        <v>45812</v>
      </c>
      <c r="G559" s="2">
        <v>45806</v>
      </c>
      <c r="H559" s="5">
        <f t="shared" si="24"/>
        <v>0</v>
      </c>
      <c r="I559" s="5">
        <f t="shared" si="27"/>
        <v>-6</v>
      </c>
      <c r="J559" s="2" t="s">
        <v>8</v>
      </c>
      <c r="K559" s="2" t="s">
        <v>586</v>
      </c>
      <c r="AD559" s="33" t="str">
        <f t="shared" si="26"/>
        <v>Thursday</v>
      </c>
    </row>
    <row r="560" spans="1:30" x14ac:dyDescent="0.2">
      <c r="A560" s="23">
        <v>40720</v>
      </c>
      <c r="B560" s="2" t="s">
        <v>179</v>
      </c>
      <c r="C560" t="s">
        <v>49</v>
      </c>
      <c r="D560" t="s">
        <v>207</v>
      </c>
      <c r="E560" s="2">
        <v>45806</v>
      </c>
      <c r="F560" s="2" cm="1">
        <f t="array" ref="F560">_xlfn.IFS(B560="Owner Surrender",E560,B560="Stray",E560+6,B560="Stray w/identification",E560+11,B560="Bite",E560+10,B560="Other",E560+30,B560="BAS",E560+56,B560="Seized",E560)</f>
        <v>45817</v>
      </c>
      <c r="G560" s="2">
        <v>45806</v>
      </c>
      <c r="H560" s="5">
        <f t="shared" si="24"/>
        <v>0</v>
      </c>
      <c r="I560" s="5">
        <f t="shared" si="27"/>
        <v>-11</v>
      </c>
      <c r="J560" s="2" t="s">
        <v>8</v>
      </c>
      <c r="K560" s="2" t="s">
        <v>586</v>
      </c>
      <c r="AD560" s="33" t="str">
        <f t="shared" si="26"/>
        <v>Thursday</v>
      </c>
    </row>
    <row r="561" spans="1:30" x14ac:dyDescent="0.2">
      <c r="A561" s="23">
        <v>40725</v>
      </c>
      <c r="B561" s="2" t="s">
        <v>36</v>
      </c>
      <c r="C561" t="s">
        <v>54</v>
      </c>
      <c r="D561" t="s">
        <v>207</v>
      </c>
      <c r="E561" s="2">
        <v>45806</v>
      </c>
      <c r="F561" s="2" cm="1">
        <f t="array" ref="F561">_xlfn.IFS(B561="Owner Surrender",E561,B561="Stray",E561+6,B561="Stray w/identification",E561+11,B561="Bite",E561+10,B561="Other",E561+30,B561="BAS",E561+56,B561="Seized",E561)</f>
        <v>45806</v>
      </c>
      <c r="G561" s="2">
        <v>45807</v>
      </c>
      <c r="H561" s="5">
        <f t="shared" si="24"/>
        <v>1</v>
      </c>
      <c r="I561" s="5">
        <f t="shared" si="27"/>
        <v>1</v>
      </c>
      <c r="J561" s="2" t="s">
        <v>11</v>
      </c>
      <c r="K561" s="2" t="s">
        <v>586</v>
      </c>
      <c r="AD561" s="33" t="str">
        <f t="shared" si="26"/>
        <v>Friday</v>
      </c>
    </row>
    <row r="562" spans="1:30" x14ac:dyDescent="0.2">
      <c r="A562" s="23">
        <v>40726</v>
      </c>
      <c r="B562" s="2" t="s">
        <v>36</v>
      </c>
      <c r="C562" t="s">
        <v>54</v>
      </c>
      <c r="D562" t="s">
        <v>207</v>
      </c>
      <c r="E562" s="2">
        <v>45806</v>
      </c>
      <c r="F562" s="2" cm="1">
        <f t="array" ref="F562">_xlfn.IFS(B562="Owner Surrender",E562,B562="Stray",E562+6,B562="Stray w/identification",E562+11,B562="Bite",E562+10,B562="Other",E562+30,B562="BAS",E562+56,B562="Seized",E562)</f>
        <v>45806</v>
      </c>
      <c r="G562" s="2">
        <v>45820</v>
      </c>
      <c r="H562" s="5">
        <f t="shared" si="24"/>
        <v>14</v>
      </c>
      <c r="I562" s="5">
        <f t="shared" si="27"/>
        <v>14</v>
      </c>
      <c r="J562" s="2" t="s">
        <v>18</v>
      </c>
      <c r="K562" s="2" t="s">
        <v>586</v>
      </c>
      <c r="AD562" s="33" t="str">
        <f t="shared" si="26"/>
        <v>Thursday</v>
      </c>
    </row>
    <row r="563" spans="1:30" x14ac:dyDescent="0.2">
      <c r="A563" s="23">
        <v>40730</v>
      </c>
      <c r="B563" s="2" t="s">
        <v>38</v>
      </c>
      <c r="C563" t="s">
        <v>141</v>
      </c>
      <c r="D563" t="s">
        <v>208</v>
      </c>
      <c r="E563" s="2">
        <v>45806</v>
      </c>
      <c r="F563" s="2" cm="1">
        <f t="array" ref="F563">_xlfn.IFS(B563="Owner Surrender",E563,B563="Stray",E563+6,B563="Stray w/identification",E563+11,B563="Bite",E563+10,B563="Other",E563+30,B563="BAS",E563+56,B563="Seized",E563)</f>
        <v>45812</v>
      </c>
      <c r="G563" s="2">
        <v>45813</v>
      </c>
      <c r="H563" s="5">
        <f t="shared" si="24"/>
        <v>7</v>
      </c>
      <c r="I563" s="5">
        <f t="shared" ref="I563:I594" si="28">G563-F563</f>
        <v>1</v>
      </c>
      <c r="J563" s="2" t="s">
        <v>11</v>
      </c>
      <c r="K563" s="2" t="s">
        <v>586</v>
      </c>
      <c r="AD563" s="33" t="str">
        <f t="shared" si="26"/>
        <v>Thursday</v>
      </c>
    </row>
    <row r="564" spans="1:30" x14ac:dyDescent="0.2">
      <c r="A564" s="23">
        <v>40731</v>
      </c>
      <c r="B564" s="2" t="s">
        <v>38</v>
      </c>
      <c r="C564" t="s">
        <v>141</v>
      </c>
      <c r="D564" t="s">
        <v>208</v>
      </c>
      <c r="E564" s="2">
        <v>45806</v>
      </c>
      <c r="F564" s="2" cm="1">
        <f t="array" ref="F564">_xlfn.IFS(B564="Owner Surrender",E564,B564="Stray",E564+6,B564="Stray w/identification",E564+11,B564="Bite",E564+10,B564="Other",E564+30,B564="BAS",E564+56,B564="Seized",E564)</f>
        <v>45812</v>
      </c>
      <c r="G564" s="2">
        <v>45828</v>
      </c>
      <c r="H564" s="5">
        <f t="shared" si="24"/>
        <v>22</v>
      </c>
      <c r="I564" s="5">
        <f t="shared" si="28"/>
        <v>16</v>
      </c>
      <c r="J564" s="2" t="s">
        <v>11</v>
      </c>
      <c r="K564" s="2" t="s">
        <v>586</v>
      </c>
      <c r="AD564" s="33" t="str">
        <f t="shared" si="26"/>
        <v>Friday</v>
      </c>
    </row>
    <row r="565" spans="1:30" x14ac:dyDescent="0.2">
      <c r="A565" s="23">
        <v>40732</v>
      </c>
      <c r="B565" s="2" t="s">
        <v>36</v>
      </c>
      <c r="C565" t="s">
        <v>488</v>
      </c>
      <c r="D565" t="s">
        <v>209</v>
      </c>
      <c r="E565" s="2">
        <v>45806</v>
      </c>
      <c r="F565" s="2" cm="1">
        <f t="array" ref="F565">_xlfn.IFS(B565="Owner Surrender",E565,B565="Stray",E565+6,B565="Stray w/identification",E565+11,B565="Bite",E565+10,B565="Other",E565+30,B565="BAS",E565+56,B565="Seized",E565)</f>
        <v>45806</v>
      </c>
      <c r="G565" s="2">
        <v>45807</v>
      </c>
      <c r="H565" s="5">
        <f t="shared" si="24"/>
        <v>1</v>
      </c>
      <c r="I565" s="5">
        <f t="shared" si="28"/>
        <v>1</v>
      </c>
      <c r="J565" s="2" t="s">
        <v>11</v>
      </c>
      <c r="K565" s="2" t="s">
        <v>586</v>
      </c>
      <c r="AD565" s="33" t="str">
        <f t="shared" si="26"/>
        <v>Friday</v>
      </c>
    </row>
    <row r="566" spans="1:30" x14ac:dyDescent="0.2">
      <c r="A566" s="23">
        <v>40733</v>
      </c>
      <c r="B566" s="2" t="s">
        <v>36</v>
      </c>
      <c r="C566" t="s">
        <v>95</v>
      </c>
      <c r="D566" t="s">
        <v>207</v>
      </c>
      <c r="E566" s="2">
        <v>45806</v>
      </c>
      <c r="F566" s="2" cm="1">
        <f t="array" ref="F566">_xlfn.IFS(B566="Owner Surrender",E566,B566="Stray",E566+6,B566="Stray w/identification",E566+11,B566="Bite",E566+10,B566="Other",E566+30,B566="BAS",E566+56,B566="Seized",E566)</f>
        <v>45806</v>
      </c>
      <c r="G566" s="2">
        <v>45807</v>
      </c>
      <c r="H566" s="5">
        <f t="shared" si="24"/>
        <v>1</v>
      </c>
      <c r="I566" s="5">
        <f t="shared" si="28"/>
        <v>1</v>
      </c>
      <c r="J566" s="2" t="s">
        <v>31</v>
      </c>
      <c r="K566" s="2" t="s">
        <v>588</v>
      </c>
      <c r="M566" t="s">
        <v>550</v>
      </c>
      <c r="AD566" s="33" t="str">
        <f t="shared" si="26"/>
        <v>Friday</v>
      </c>
    </row>
    <row r="567" spans="1:30" x14ac:dyDescent="0.2">
      <c r="A567" s="23">
        <v>40750</v>
      </c>
      <c r="B567" s="2" t="s">
        <v>38</v>
      </c>
      <c r="C567" t="s">
        <v>78</v>
      </c>
      <c r="D567" t="s">
        <v>209</v>
      </c>
      <c r="E567" s="2">
        <v>45808</v>
      </c>
      <c r="F567" s="2" cm="1">
        <f t="array" ref="F567">_xlfn.IFS(B567="Owner Surrender",E567,B567="Stray",E567+6,B567="Stray w/identification",E567+11,B567="Bite",E567+10,B567="Other",E567+30,B567="BAS",E567+56,B567="Seized",E567)</f>
        <v>45814</v>
      </c>
      <c r="G567" s="2">
        <v>45813</v>
      </c>
      <c r="H567" s="5">
        <f t="shared" si="24"/>
        <v>5</v>
      </c>
      <c r="I567" s="5">
        <f t="shared" si="28"/>
        <v>-1</v>
      </c>
      <c r="J567" s="2" t="s">
        <v>11</v>
      </c>
      <c r="K567" s="2" t="s">
        <v>586</v>
      </c>
      <c r="AD567" s="33" t="str">
        <f t="shared" si="26"/>
        <v>Thursday</v>
      </c>
    </row>
    <row r="568" spans="1:30" x14ac:dyDescent="0.2">
      <c r="A568" s="23">
        <v>40751</v>
      </c>
      <c r="B568" s="2" t="s">
        <v>38</v>
      </c>
      <c r="C568" t="s">
        <v>148</v>
      </c>
      <c r="D568" t="s">
        <v>209</v>
      </c>
      <c r="E568" s="2">
        <v>45808</v>
      </c>
      <c r="F568" s="2" cm="1">
        <f t="array" ref="F568">_xlfn.IFS(B568="Owner Surrender",E568,B568="Stray",E568+6,B568="Stray w/identification",E568+11,B568="Bite",E568+10,B568="Other",E568+30,B568="BAS",E568+56,B568="Seized",E568)</f>
        <v>45814</v>
      </c>
      <c r="G568" s="2">
        <v>45818</v>
      </c>
      <c r="H568" s="5">
        <f t="shared" si="24"/>
        <v>10</v>
      </c>
      <c r="I568" s="5">
        <f t="shared" si="28"/>
        <v>4</v>
      </c>
      <c r="J568" s="2" t="s">
        <v>31</v>
      </c>
      <c r="K568" s="2" t="s">
        <v>587</v>
      </c>
      <c r="AD568" s="33" t="str">
        <f t="shared" si="26"/>
        <v>Tuesday</v>
      </c>
    </row>
    <row r="569" spans="1:30" x14ac:dyDescent="0.2">
      <c r="A569" s="23">
        <v>40759</v>
      </c>
      <c r="B569" s="2" t="s">
        <v>36</v>
      </c>
      <c r="C569" t="s">
        <v>78</v>
      </c>
      <c r="D569" t="s">
        <v>207</v>
      </c>
      <c r="E569" s="2">
        <v>45808</v>
      </c>
      <c r="F569" s="2" cm="1">
        <f t="array" ref="F569">_xlfn.IFS(B569="Owner Surrender",E569,B569="Stray",E569+6,B569="Stray w/identification",E569+11,B569="Bite",E569+10,B569="Other",E569+30,B569="BAS",E569+56,B569="Seized",E569)</f>
        <v>45808</v>
      </c>
      <c r="G569" s="2">
        <v>45820</v>
      </c>
      <c r="H569" s="5">
        <f t="shared" si="24"/>
        <v>12</v>
      </c>
      <c r="I569" s="5">
        <f t="shared" si="28"/>
        <v>12</v>
      </c>
      <c r="J569" s="2" t="s">
        <v>18</v>
      </c>
      <c r="K569" s="2" t="s">
        <v>586</v>
      </c>
      <c r="L569" t="s">
        <v>560</v>
      </c>
      <c r="AD569" s="33" t="str">
        <f t="shared" si="26"/>
        <v>Thursday</v>
      </c>
    </row>
    <row r="570" spans="1:30" x14ac:dyDescent="0.2">
      <c r="A570" s="23">
        <v>40760</v>
      </c>
      <c r="B570" s="2" t="s">
        <v>38</v>
      </c>
      <c r="C570" t="s">
        <v>48</v>
      </c>
      <c r="D570" t="s">
        <v>207</v>
      </c>
      <c r="E570" s="2">
        <v>45808</v>
      </c>
      <c r="F570" s="2" cm="1">
        <f t="array" ref="F570">_xlfn.IFS(B570="Owner Surrender",E570,B570="Stray",E570+6,B570="Stray w/identification",E570+11,B570="Bite",E570+10,B570="Other",E570+30,B570="BAS",E570+56,B570="Seized",E570)</f>
        <v>45814</v>
      </c>
      <c r="G570" s="2">
        <v>45818</v>
      </c>
      <c r="H570" s="5">
        <f t="shared" si="24"/>
        <v>10</v>
      </c>
      <c r="I570" s="5">
        <f t="shared" si="28"/>
        <v>4</v>
      </c>
      <c r="J570" s="2" t="s">
        <v>31</v>
      </c>
      <c r="K570" s="2" t="s">
        <v>587</v>
      </c>
      <c r="AD570" s="33" t="str">
        <f t="shared" si="26"/>
        <v>Tuesday</v>
      </c>
    </row>
    <row r="571" spans="1:30" x14ac:dyDescent="0.2">
      <c r="A571" s="23">
        <v>40761</v>
      </c>
      <c r="B571" s="2" t="s">
        <v>38</v>
      </c>
      <c r="C571" t="s">
        <v>48</v>
      </c>
      <c r="D571" t="s">
        <v>207</v>
      </c>
      <c r="E571" s="2">
        <v>45808</v>
      </c>
      <c r="F571" s="2" cm="1">
        <f t="array" ref="F571">_xlfn.IFS(B571="Owner Surrender",E571,B571="Stray",E571+6,B571="Stray w/identification",E571+11,B571="Bite",E571+10,B571="Other",E571+30,B571="BAS",E571+56,B571="Seized",E571)</f>
        <v>45814</v>
      </c>
      <c r="G571" s="2">
        <v>45841</v>
      </c>
      <c r="H571" s="5">
        <f t="shared" si="24"/>
        <v>33</v>
      </c>
      <c r="I571" s="5">
        <f t="shared" si="28"/>
        <v>27</v>
      </c>
      <c r="J571" s="2" t="s">
        <v>31</v>
      </c>
      <c r="K571" s="2" t="s">
        <v>587</v>
      </c>
      <c r="L571" t="s">
        <v>185</v>
      </c>
      <c r="M571" t="s">
        <v>186</v>
      </c>
      <c r="AD571" s="33" t="str">
        <f t="shared" si="26"/>
        <v>Thursday</v>
      </c>
    </row>
    <row r="572" spans="1:30" x14ac:dyDescent="0.2">
      <c r="A572" s="23">
        <v>40767</v>
      </c>
      <c r="B572" s="2" t="s">
        <v>179</v>
      </c>
      <c r="C572" t="s">
        <v>108</v>
      </c>
      <c r="D572" t="s">
        <v>207</v>
      </c>
      <c r="E572" s="2">
        <v>45810</v>
      </c>
      <c r="F572" s="2" cm="1">
        <f t="array" ref="F572">_xlfn.IFS(B572="Owner Surrender",E572,B572="Stray",E572+6,B572="Stray w/identification",E572+11,B572="Bite",E572+10,B572="Other",E572+30,B572="BAS",E572+56,B572="Seized",E572)</f>
        <v>45821</v>
      </c>
      <c r="G572" s="2">
        <v>45825</v>
      </c>
      <c r="H572" s="5">
        <f t="shared" si="24"/>
        <v>15</v>
      </c>
      <c r="I572" s="5">
        <f t="shared" si="28"/>
        <v>4</v>
      </c>
      <c r="J572" s="2" t="s">
        <v>31</v>
      </c>
      <c r="K572" s="2" t="s">
        <v>587</v>
      </c>
      <c r="AD572" s="33" t="str">
        <f t="shared" si="26"/>
        <v>Tuesday</v>
      </c>
    </row>
    <row r="573" spans="1:30" x14ac:dyDescent="0.2">
      <c r="A573" s="23">
        <v>40777</v>
      </c>
      <c r="B573" s="2" t="s">
        <v>38</v>
      </c>
      <c r="C573" t="s">
        <v>148</v>
      </c>
      <c r="D573" t="s">
        <v>209</v>
      </c>
      <c r="E573" s="2">
        <v>45810</v>
      </c>
      <c r="F573" s="2" cm="1">
        <f t="array" ref="F573">_xlfn.IFS(B573="Owner Surrender",E573,B573="Stray",E573+6,B573="Stray w/identification",E573+11,B573="Bite",E573+10,B573="Other",E573+30,B573="BAS",E573+56,B573="Seized",E573)</f>
        <v>45816</v>
      </c>
      <c r="G573" s="2">
        <v>45818</v>
      </c>
      <c r="H573" s="5">
        <f t="shared" si="24"/>
        <v>8</v>
      </c>
      <c r="I573" s="5">
        <f t="shared" si="28"/>
        <v>2</v>
      </c>
      <c r="J573" s="2" t="s">
        <v>31</v>
      </c>
      <c r="K573" s="2" t="s">
        <v>587</v>
      </c>
      <c r="L573" t="s">
        <v>557</v>
      </c>
      <c r="AD573" s="33" t="str">
        <f t="shared" si="26"/>
        <v>Tuesday</v>
      </c>
    </row>
    <row r="574" spans="1:30" x14ac:dyDescent="0.2">
      <c r="A574" s="23">
        <v>40778</v>
      </c>
      <c r="B574" s="2" t="s">
        <v>38</v>
      </c>
      <c r="C574" t="s">
        <v>95</v>
      </c>
      <c r="D574" t="s">
        <v>207</v>
      </c>
      <c r="E574" s="2">
        <v>45811</v>
      </c>
      <c r="F574" s="2" cm="1">
        <f t="array" ref="F574">_xlfn.IFS(B574="Owner Surrender",E574,B574="Stray",E574+6,B574="Stray w/identification",E574+11,B574="Bite",E574+10,B574="Other",E574+30,B574="BAS",E574+56,B574="Seized",E574)</f>
        <v>45817</v>
      </c>
      <c r="G574" s="2">
        <v>45818</v>
      </c>
      <c r="H574" s="5">
        <f t="shared" si="24"/>
        <v>7</v>
      </c>
      <c r="I574" s="5">
        <f t="shared" si="28"/>
        <v>1</v>
      </c>
      <c r="J574" s="2" t="s">
        <v>11</v>
      </c>
      <c r="K574" s="2" t="s">
        <v>586</v>
      </c>
      <c r="L574" t="s">
        <v>556</v>
      </c>
      <c r="AD574" s="33" t="str">
        <f t="shared" si="26"/>
        <v>Tuesday</v>
      </c>
    </row>
    <row r="575" spans="1:30" x14ac:dyDescent="0.2">
      <c r="A575" s="23">
        <v>40787</v>
      </c>
      <c r="B575" s="2" t="s">
        <v>36</v>
      </c>
      <c r="C575" t="s">
        <v>55</v>
      </c>
      <c r="D575" t="s">
        <v>207</v>
      </c>
      <c r="E575" s="2">
        <v>45811</v>
      </c>
      <c r="F575" s="2" cm="1">
        <f t="array" ref="F575">_xlfn.IFS(B575="Owner Surrender",E575,B575="Stray",E575+6,B575="Stray w/identification",E575+11,B575="Bite",E575+10,B575="Other",E575+30,B575="BAS",E575+56,B575="Seized",E575)</f>
        <v>45811</v>
      </c>
      <c r="G575" s="2">
        <v>45841</v>
      </c>
      <c r="H575" s="5">
        <f t="shared" si="24"/>
        <v>30</v>
      </c>
      <c r="I575" s="5">
        <f t="shared" si="28"/>
        <v>30</v>
      </c>
      <c r="J575" s="2" t="s">
        <v>11</v>
      </c>
      <c r="K575" s="2" t="s">
        <v>586</v>
      </c>
      <c r="AD575" s="33" t="str">
        <f t="shared" si="26"/>
        <v>Thursday</v>
      </c>
    </row>
    <row r="576" spans="1:30" x14ac:dyDescent="0.2">
      <c r="A576" s="23">
        <v>40789</v>
      </c>
      <c r="B576" s="2" t="s">
        <v>179</v>
      </c>
      <c r="C576" t="s">
        <v>161</v>
      </c>
      <c r="D576" t="s">
        <v>207</v>
      </c>
      <c r="E576" s="2">
        <v>45811</v>
      </c>
      <c r="F576" s="2" cm="1">
        <f t="array" ref="F576">_xlfn.IFS(B576="Owner Surrender",E576,B576="Stray",E576+6,B576="Stray w/identification",E576+11,B576="Bite",E576+10,B576="Other",E576+30,B576="BAS",E576+56,B576="Seized",E576)</f>
        <v>45822</v>
      </c>
      <c r="G576" s="2">
        <v>45826</v>
      </c>
      <c r="H576" s="5">
        <f t="shared" si="24"/>
        <v>15</v>
      </c>
      <c r="I576" s="5">
        <f t="shared" si="28"/>
        <v>4</v>
      </c>
      <c r="J576" s="2" t="s">
        <v>31</v>
      </c>
      <c r="K576" s="2" t="s">
        <v>588</v>
      </c>
      <c r="M576" t="s">
        <v>66</v>
      </c>
      <c r="AD576" s="33" t="str">
        <f t="shared" si="26"/>
        <v>Wednesday</v>
      </c>
    </row>
    <row r="577" spans="1:30" x14ac:dyDescent="0.2">
      <c r="A577" s="23">
        <v>40792</v>
      </c>
      <c r="B577" s="2" t="s">
        <v>38</v>
      </c>
      <c r="C577" t="s">
        <v>49</v>
      </c>
      <c r="D577" t="s">
        <v>207</v>
      </c>
      <c r="E577" s="2">
        <v>45812</v>
      </c>
      <c r="F577" s="2" cm="1">
        <f t="array" ref="F577">_xlfn.IFS(B577="Owner Surrender",E577,B577="Stray",E577+6,B577="Stray w/identification",E577+11,B577="Bite",E577+10,B577="Other",E577+30,B577="BAS",E577+56,B577="Seized",E577)</f>
        <v>45818</v>
      </c>
      <c r="G577" s="2">
        <v>45824</v>
      </c>
      <c r="H577" s="5">
        <f t="shared" si="24"/>
        <v>12</v>
      </c>
      <c r="I577" s="5">
        <f t="shared" si="28"/>
        <v>6</v>
      </c>
      <c r="J577" s="2" t="s">
        <v>11</v>
      </c>
      <c r="K577" s="2" t="s">
        <v>586</v>
      </c>
      <c r="AD577" s="33" t="str">
        <f t="shared" si="26"/>
        <v>Monday</v>
      </c>
    </row>
    <row r="578" spans="1:30" x14ac:dyDescent="0.2">
      <c r="A578" s="23">
        <v>40800</v>
      </c>
      <c r="B578" s="2" t="s">
        <v>38</v>
      </c>
      <c r="C578" t="s">
        <v>72</v>
      </c>
      <c r="D578" t="s">
        <v>207</v>
      </c>
      <c r="E578" s="2">
        <v>45812</v>
      </c>
      <c r="F578" s="2" cm="1">
        <f t="array" ref="F578">_xlfn.IFS(B578="Owner Surrender",E578,B578="Stray",E578+6,B578="Stray w/identification",E578+11,B578="Bite",E578+10,B578="Other",E578+30,B578="BAS",E578+56,B578="Seized",E578)</f>
        <v>45818</v>
      </c>
      <c r="G578" s="2">
        <v>45814</v>
      </c>
      <c r="H578" s="5">
        <f t="shared" si="24"/>
        <v>2</v>
      </c>
      <c r="I578" s="5">
        <f t="shared" si="28"/>
        <v>-4</v>
      </c>
      <c r="J578" s="2" t="s">
        <v>18</v>
      </c>
      <c r="K578" s="2" t="s">
        <v>586</v>
      </c>
      <c r="L578" t="s">
        <v>573</v>
      </c>
      <c r="AD578" s="33" t="str">
        <f t="shared" si="26"/>
        <v>Friday</v>
      </c>
    </row>
    <row r="579" spans="1:30" x14ac:dyDescent="0.2">
      <c r="A579" s="23">
        <v>40801</v>
      </c>
      <c r="B579" s="2" t="s">
        <v>38</v>
      </c>
      <c r="C579" t="s">
        <v>51</v>
      </c>
      <c r="D579" t="s">
        <v>207</v>
      </c>
      <c r="E579" s="2">
        <v>45812</v>
      </c>
      <c r="F579" s="2" cm="1">
        <f t="array" ref="F579">_xlfn.IFS(B579="Owner Surrender",E579,B579="Stray",E579+6,B579="Stray w/identification",E579+11,B579="Bite",E579+10,B579="Other",E579+30,B579="BAS",E579+56,B579="Seized",E579)</f>
        <v>45818</v>
      </c>
      <c r="G579" s="2">
        <v>45821</v>
      </c>
      <c r="H579" s="5">
        <f t="shared" ref="H579:H642" si="29">+G579-E579</f>
        <v>9</v>
      </c>
      <c r="I579" s="5">
        <f t="shared" si="28"/>
        <v>3</v>
      </c>
      <c r="J579" s="2" t="s">
        <v>11</v>
      </c>
      <c r="K579" s="2" t="s">
        <v>586</v>
      </c>
      <c r="AD579" s="33" t="str">
        <f t="shared" si="26"/>
        <v>Friday</v>
      </c>
    </row>
    <row r="580" spans="1:30" x14ac:dyDescent="0.2">
      <c r="A580" s="23">
        <v>40805</v>
      </c>
      <c r="B580" s="2" t="s">
        <v>36</v>
      </c>
      <c r="C580" t="s">
        <v>574</v>
      </c>
      <c r="D580" t="s">
        <v>207</v>
      </c>
      <c r="E580" s="2">
        <v>45813</v>
      </c>
      <c r="F580" s="2" cm="1">
        <f t="array" ref="F580">_xlfn.IFS(B580="Owner Surrender",E580,B580="Stray",E580+6,B580="Stray w/identification",E580+11,B580="Bite",E580+10,B580="Other",E580+30,B580="BAS",E580+56,B580="Seized",E580)</f>
        <v>45813</v>
      </c>
      <c r="G580" s="2">
        <v>45814</v>
      </c>
      <c r="H580" s="5">
        <f t="shared" si="29"/>
        <v>1</v>
      </c>
      <c r="I580" s="5">
        <f t="shared" si="28"/>
        <v>1</v>
      </c>
      <c r="J580" s="2" t="s">
        <v>31</v>
      </c>
      <c r="K580" s="2" t="s">
        <v>587</v>
      </c>
      <c r="L580" t="s">
        <v>575</v>
      </c>
      <c r="AD580" s="33" t="str">
        <f t="shared" ref="AD580:AD643" si="30">TEXT(G580,"DDDD")</f>
        <v>Friday</v>
      </c>
    </row>
    <row r="581" spans="1:30" x14ac:dyDescent="0.2">
      <c r="A581" s="23">
        <v>40806</v>
      </c>
      <c r="B581" s="2" t="s">
        <v>36</v>
      </c>
      <c r="C581" t="s">
        <v>574</v>
      </c>
      <c r="D581" t="s">
        <v>207</v>
      </c>
      <c r="E581" s="2">
        <v>45813</v>
      </c>
      <c r="F581" s="2" cm="1">
        <f t="array" ref="F581">_xlfn.IFS(B581="Owner Surrender",E581,B581="Stray",E581+6,B581="Stray w/identification",E581+11,B581="Bite",E581+10,B581="Other",E581+30,B581="BAS",E581+56,B581="Seized",E581)</f>
        <v>45813</v>
      </c>
      <c r="G581" s="2">
        <v>45814</v>
      </c>
      <c r="H581" s="5">
        <f t="shared" si="29"/>
        <v>1</v>
      </c>
      <c r="I581" s="5">
        <f t="shared" si="28"/>
        <v>1</v>
      </c>
      <c r="J581" s="2" t="s">
        <v>31</v>
      </c>
      <c r="K581" s="2" t="s">
        <v>587</v>
      </c>
      <c r="L581" t="s">
        <v>149</v>
      </c>
      <c r="AD581" s="33" t="str">
        <f t="shared" si="30"/>
        <v>Friday</v>
      </c>
    </row>
    <row r="582" spans="1:30" x14ac:dyDescent="0.2">
      <c r="A582" s="23">
        <v>40807</v>
      </c>
      <c r="B582" s="2" t="s">
        <v>36</v>
      </c>
      <c r="C582" t="s">
        <v>55</v>
      </c>
      <c r="D582" t="s">
        <v>207</v>
      </c>
      <c r="E582" s="2">
        <v>45813</v>
      </c>
      <c r="F582" s="2" cm="1">
        <f t="array" ref="F582">_xlfn.IFS(B582="Owner Surrender",E582,B582="Stray",E582+6,B582="Stray w/identification",E582+11,B582="Bite",E582+10,B582="Other",E582+30,B582="BAS",E582+56,B582="Seized",E582)</f>
        <v>45813</v>
      </c>
      <c r="G582" s="2">
        <v>45819</v>
      </c>
      <c r="H582" s="5">
        <f t="shared" si="29"/>
        <v>6</v>
      </c>
      <c r="I582" s="5">
        <f t="shared" si="28"/>
        <v>6</v>
      </c>
      <c r="J582" s="2" t="s">
        <v>31</v>
      </c>
      <c r="K582" s="2" t="s">
        <v>587</v>
      </c>
      <c r="AD582" s="33" t="str">
        <f t="shared" si="30"/>
        <v>Wednesday</v>
      </c>
    </row>
    <row r="583" spans="1:30" x14ac:dyDescent="0.2">
      <c r="A583" s="23">
        <v>40808</v>
      </c>
      <c r="B583" s="2" t="s">
        <v>36</v>
      </c>
      <c r="C583" t="s">
        <v>55</v>
      </c>
      <c r="D583" t="s">
        <v>207</v>
      </c>
      <c r="E583" s="2">
        <v>45813</v>
      </c>
      <c r="F583" s="2" cm="1">
        <f t="array" ref="F583">_xlfn.IFS(B583="Owner Surrender",E583,B583="Stray",E583+6,B583="Stray w/identification",E583+11,B583="Bite",E583+10,B583="Other",E583+30,B583="BAS",E583+56,B583="Seized",E583)</f>
        <v>45813</v>
      </c>
      <c r="G583" s="2">
        <v>45819</v>
      </c>
      <c r="H583" s="5">
        <f t="shared" si="29"/>
        <v>6</v>
      </c>
      <c r="I583" s="5">
        <f t="shared" si="28"/>
        <v>6</v>
      </c>
      <c r="J583" s="2" t="s">
        <v>31</v>
      </c>
      <c r="K583" s="2" t="s">
        <v>587</v>
      </c>
      <c r="AD583" s="33" t="str">
        <f t="shared" si="30"/>
        <v>Wednesday</v>
      </c>
    </row>
    <row r="584" spans="1:30" x14ac:dyDescent="0.2">
      <c r="A584" s="23">
        <v>40811</v>
      </c>
      <c r="B584" s="2" t="s">
        <v>52</v>
      </c>
      <c r="C584" t="s">
        <v>78</v>
      </c>
      <c r="D584" t="s">
        <v>207</v>
      </c>
      <c r="E584" s="2">
        <v>45813</v>
      </c>
      <c r="F584" s="2" cm="1">
        <f t="array" ref="F584">_xlfn.IFS(B584="Owner Surrender",E584,B584="Stray",E584+6,B584="Stray w/identification",E584+11,B584="Bite",E584+10,B584="Other",E584+30,B584="BAS",E584+56,B584="Seized",E584)</f>
        <v>45813</v>
      </c>
      <c r="G584" s="2">
        <v>45813</v>
      </c>
      <c r="H584" s="5">
        <f t="shared" si="29"/>
        <v>0</v>
      </c>
      <c r="I584" s="5">
        <f t="shared" si="28"/>
        <v>0</v>
      </c>
      <c r="J584" s="2" t="s">
        <v>18</v>
      </c>
      <c r="K584" s="2" t="s">
        <v>586</v>
      </c>
      <c r="L584" s="2" t="s">
        <v>98</v>
      </c>
      <c r="M584" s="2" t="s">
        <v>19</v>
      </c>
      <c r="AD584" s="33" t="str">
        <f t="shared" si="30"/>
        <v>Thursday</v>
      </c>
    </row>
    <row r="585" spans="1:30" x14ac:dyDescent="0.2">
      <c r="A585" s="23">
        <v>40812</v>
      </c>
      <c r="B585" s="2" t="s">
        <v>52</v>
      </c>
      <c r="C585" t="s">
        <v>113</v>
      </c>
      <c r="D585" t="s">
        <v>207</v>
      </c>
      <c r="E585" s="2">
        <v>45813</v>
      </c>
      <c r="F585" s="2" cm="1">
        <f t="array" ref="F585">_xlfn.IFS(B585="Owner Surrender",E585,B585="Stray",E585+6,B585="Stray w/identification",E585+11,B585="Bite",E585+10,B585="Other",E585+30,B585="BAS",E585+56,B585="Seized",E585)</f>
        <v>45813</v>
      </c>
      <c r="G585" s="2">
        <v>45846</v>
      </c>
      <c r="H585" s="5">
        <f t="shared" si="29"/>
        <v>33</v>
      </c>
      <c r="I585" s="5">
        <f t="shared" si="28"/>
        <v>33</v>
      </c>
      <c r="J585" s="2" t="s">
        <v>31</v>
      </c>
      <c r="K585" s="2" t="s">
        <v>587</v>
      </c>
      <c r="L585" s="2" t="s">
        <v>114</v>
      </c>
      <c r="M585" t="s">
        <v>187</v>
      </c>
      <c r="AD585" s="33" t="str">
        <f t="shared" si="30"/>
        <v>Tuesday</v>
      </c>
    </row>
    <row r="586" spans="1:30" x14ac:dyDescent="0.2">
      <c r="A586" s="23">
        <v>40813</v>
      </c>
      <c r="B586" s="2" t="s">
        <v>52</v>
      </c>
      <c r="C586" t="s">
        <v>72</v>
      </c>
      <c r="D586" t="s">
        <v>208</v>
      </c>
      <c r="E586" s="2">
        <v>45813</v>
      </c>
      <c r="F586" s="2" cm="1">
        <f t="array" ref="F586">_xlfn.IFS(B586="Owner Surrender",E586,B586="Stray",E586+6,B586="Stray w/identification",E586+11,B586="Bite",E586+10,B586="Other",E586+30,B586="BAS",E586+56,B586="Seized",E586)</f>
        <v>45813</v>
      </c>
      <c r="G586" s="2">
        <v>45846</v>
      </c>
      <c r="H586" s="5">
        <f t="shared" si="29"/>
        <v>33</v>
      </c>
      <c r="I586" s="5">
        <f t="shared" si="28"/>
        <v>33</v>
      </c>
      <c r="J586" s="2" t="s">
        <v>31</v>
      </c>
      <c r="K586" s="2" t="s">
        <v>588</v>
      </c>
      <c r="M586" t="s">
        <v>66</v>
      </c>
      <c r="AD586" s="33" t="str">
        <f t="shared" si="30"/>
        <v>Tuesday</v>
      </c>
    </row>
    <row r="587" spans="1:30" x14ac:dyDescent="0.2">
      <c r="A587" s="23">
        <v>40814</v>
      </c>
      <c r="B587" s="2" t="s">
        <v>52</v>
      </c>
      <c r="C587" t="s">
        <v>72</v>
      </c>
      <c r="D587" t="s">
        <v>208</v>
      </c>
      <c r="E587" s="2">
        <v>45813</v>
      </c>
      <c r="F587" s="2" cm="1">
        <f t="array" ref="F587">_xlfn.IFS(B587="Owner Surrender",E587,B587="Stray",E587+6,B587="Stray w/identification",E587+11,B587="Bite",E587+10,B587="Other",E587+30,B587="BAS",E587+56,B587="Seized",E587)</f>
        <v>45813</v>
      </c>
      <c r="G587" s="2">
        <v>45846</v>
      </c>
      <c r="H587" s="5">
        <f t="shared" si="29"/>
        <v>33</v>
      </c>
      <c r="I587" s="5">
        <f t="shared" si="28"/>
        <v>33</v>
      </c>
      <c r="J587" s="2" t="s">
        <v>31</v>
      </c>
      <c r="K587" s="2" t="s">
        <v>588</v>
      </c>
      <c r="M587" t="s">
        <v>66</v>
      </c>
      <c r="AD587" s="33" t="str">
        <f t="shared" si="30"/>
        <v>Tuesday</v>
      </c>
    </row>
    <row r="588" spans="1:30" x14ac:dyDescent="0.2">
      <c r="A588" s="23">
        <v>40815</v>
      </c>
      <c r="B588" s="2" t="s">
        <v>52</v>
      </c>
      <c r="C588" t="s">
        <v>72</v>
      </c>
      <c r="D588" t="s">
        <v>208</v>
      </c>
      <c r="E588" s="2">
        <v>45813</v>
      </c>
      <c r="F588" s="2" cm="1">
        <f t="array" ref="F588">_xlfn.IFS(B588="Owner Surrender",E588,B588="Stray",E588+6,B588="Stray w/identification",E588+11,B588="Bite",E588+10,B588="Other",E588+30,B588="BAS",E588+56,B588="Seized",E588)</f>
        <v>45813</v>
      </c>
      <c r="G588" s="2">
        <v>45846</v>
      </c>
      <c r="H588" s="5">
        <f t="shared" si="29"/>
        <v>33</v>
      </c>
      <c r="I588" s="5">
        <f t="shared" si="28"/>
        <v>33</v>
      </c>
      <c r="J588" s="2" t="s">
        <v>31</v>
      </c>
      <c r="K588" s="2" t="s">
        <v>588</v>
      </c>
      <c r="M588" t="s">
        <v>66</v>
      </c>
      <c r="AD588" s="33" t="str">
        <f t="shared" si="30"/>
        <v>Tuesday</v>
      </c>
    </row>
    <row r="589" spans="1:30" x14ac:dyDescent="0.2">
      <c r="A589" s="23">
        <v>40816</v>
      </c>
      <c r="B589" s="2" t="s">
        <v>52</v>
      </c>
      <c r="C589" t="s">
        <v>72</v>
      </c>
      <c r="D589" t="s">
        <v>208</v>
      </c>
      <c r="E589" s="2">
        <v>45813</v>
      </c>
      <c r="F589" s="2" cm="1">
        <f t="array" ref="F589">_xlfn.IFS(B589="Owner Surrender",E589,B589="Stray",E589+6,B589="Stray w/identification",E589+11,B589="Bite",E589+10,B589="Other",E589+30,B589="BAS",E589+56,B589="Seized",E589)</f>
        <v>45813</v>
      </c>
      <c r="G589" s="2">
        <v>45846</v>
      </c>
      <c r="H589" s="5">
        <f t="shared" si="29"/>
        <v>33</v>
      </c>
      <c r="I589" s="5">
        <f t="shared" si="28"/>
        <v>33</v>
      </c>
      <c r="J589" s="2" t="s">
        <v>31</v>
      </c>
      <c r="K589" s="2" t="s">
        <v>588</v>
      </c>
      <c r="M589" t="s">
        <v>66</v>
      </c>
      <c r="AD589" s="33" t="str">
        <f t="shared" si="30"/>
        <v>Tuesday</v>
      </c>
    </row>
    <row r="590" spans="1:30" x14ac:dyDescent="0.2">
      <c r="A590" s="23">
        <v>40817</v>
      </c>
      <c r="B590" s="2" t="s">
        <v>52</v>
      </c>
      <c r="C590" t="s">
        <v>72</v>
      </c>
      <c r="D590" t="s">
        <v>208</v>
      </c>
      <c r="E590" s="2">
        <v>45813</v>
      </c>
      <c r="F590" s="2" cm="1">
        <f t="array" ref="F590">_xlfn.IFS(B590="Owner Surrender",E590,B590="Stray",E590+6,B590="Stray w/identification",E590+11,B590="Bite",E590+10,B590="Other",E590+30,B590="BAS",E590+56,B590="Seized",E590)</f>
        <v>45813</v>
      </c>
      <c r="G590" s="2">
        <v>45846</v>
      </c>
      <c r="H590" s="5">
        <f t="shared" si="29"/>
        <v>33</v>
      </c>
      <c r="I590" s="5">
        <f t="shared" si="28"/>
        <v>33</v>
      </c>
      <c r="J590" s="2" t="s">
        <v>31</v>
      </c>
      <c r="K590" s="2" t="s">
        <v>588</v>
      </c>
      <c r="M590" t="s">
        <v>66</v>
      </c>
      <c r="AD590" s="33" t="str">
        <f t="shared" si="30"/>
        <v>Tuesday</v>
      </c>
    </row>
    <row r="591" spans="1:30" x14ac:dyDescent="0.2">
      <c r="A591" s="23">
        <v>40818</v>
      </c>
      <c r="B591" s="2" t="s">
        <v>52</v>
      </c>
      <c r="C591" t="s">
        <v>72</v>
      </c>
      <c r="D591" t="s">
        <v>208</v>
      </c>
      <c r="E591" s="2">
        <v>45813</v>
      </c>
      <c r="F591" s="2" cm="1">
        <f t="array" ref="F591">_xlfn.IFS(B591="Owner Surrender",E591,B591="Stray",E591+6,B591="Stray w/identification",E591+11,B591="Bite",E591+10,B591="Other",E591+30,B591="BAS",E591+56,B591="Seized",E591)</f>
        <v>45813</v>
      </c>
      <c r="G591" s="2">
        <v>45846</v>
      </c>
      <c r="H591" s="5">
        <f t="shared" si="29"/>
        <v>33</v>
      </c>
      <c r="I591" s="5">
        <f t="shared" si="28"/>
        <v>33</v>
      </c>
      <c r="J591" s="2" t="s">
        <v>31</v>
      </c>
      <c r="K591" s="2" t="s">
        <v>588</v>
      </c>
      <c r="M591" t="s">
        <v>66</v>
      </c>
      <c r="AD591" s="33" t="str">
        <f t="shared" si="30"/>
        <v>Tuesday</v>
      </c>
    </row>
    <row r="592" spans="1:30" x14ac:dyDescent="0.2">
      <c r="A592" s="23">
        <v>40819</v>
      </c>
      <c r="B592" s="2" t="s">
        <v>52</v>
      </c>
      <c r="C592" t="s">
        <v>72</v>
      </c>
      <c r="D592" t="s">
        <v>208</v>
      </c>
      <c r="E592" s="2">
        <v>45813</v>
      </c>
      <c r="F592" s="2" cm="1">
        <f t="array" ref="F592">_xlfn.IFS(B592="Owner Surrender",E592,B592="Stray",E592+6,B592="Stray w/identification",E592+11,B592="Bite",E592+10,B592="Other",E592+30,B592="BAS",E592+56,B592="Seized",E592)</f>
        <v>45813</v>
      </c>
      <c r="G592" s="2">
        <v>45846</v>
      </c>
      <c r="H592" s="5">
        <f t="shared" si="29"/>
        <v>33</v>
      </c>
      <c r="I592" s="5">
        <f t="shared" si="28"/>
        <v>33</v>
      </c>
      <c r="J592" s="2" t="s">
        <v>31</v>
      </c>
      <c r="K592" s="2" t="s">
        <v>588</v>
      </c>
      <c r="M592" t="s">
        <v>66</v>
      </c>
      <c r="AD592" s="33" t="str">
        <f t="shared" si="30"/>
        <v>Tuesday</v>
      </c>
    </row>
    <row r="593" spans="1:30" x14ac:dyDescent="0.2">
      <c r="A593" s="23">
        <v>40820</v>
      </c>
      <c r="B593" s="2" t="s">
        <v>52</v>
      </c>
      <c r="C593" t="s">
        <v>72</v>
      </c>
      <c r="D593" t="s">
        <v>208</v>
      </c>
      <c r="E593" s="2">
        <v>45813</v>
      </c>
      <c r="F593" s="2" cm="1">
        <f t="array" ref="F593">_xlfn.IFS(B593="Owner Surrender",E593,B593="Stray",E593+6,B593="Stray w/identification",E593+11,B593="Bite",E593+10,B593="Other",E593+30,B593="BAS",E593+56,B593="Seized",E593)</f>
        <v>45813</v>
      </c>
      <c r="G593" s="2">
        <v>45846</v>
      </c>
      <c r="H593" s="5">
        <f t="shared" si="29"/>
        <v>33</v>
      </c>
      <c r="I593" s="5">
        <f t="shared" si="28"/>
        <v>33</v>
      </c>
      <c r="J593" s="2" t="s">
        <v>31</v>
      </c>
      <c r="K593" s="2" t="s">
        <v>588</v>
      </c>
      <c r="M593" t="s">
        <v>66</v>
      </c>
      <c r="AD593" s="33" t="str">
        <f t="shared" si="30"/>
        <v>Tuesday</v>
      </c>
    </row>
    <row r="594" spans="1:30" x14ac:dyDescent="0.2">
      <c r="A594" s="23">
        <v>40821</v>
      </c>
      <c r="B594" s="2" t="s">
        <v>52</v>
      </c>
      <c r="C594" t="s">
        <v>72</v>
      </c>
      <c r="D594" t="s">
        <v>208</v>
      </c>
      <c r="E594" s="2">
        <v>45813</v>
      </c>
      <c r="F594" s="2" cm="1">
        <f t="array" ref="F594">_xlfn.IFS(B594="Owner Surrender",E594,B594="Stray",E594+6,B594="Stray w/identification",E594+11,B594="Bite",E594+10,B594="Other",E594+30,B594="BAS",E594+56,B594="Seized",E594)</f>
        <v>45813</v>
      </c>
      <c r="G594" s="2">
        <v>45846</v>
      </c>
      <c r="H594" s="5">
        <f t="shared" si="29"/>
        <v>33</v>
      </c>
      <c r="I594" s="5">
        <f t="shared" si="28"/>
        <v>33</v>
      </c>
      <c r="J594" s="2" t="s">
        <v>31</v>
      </c>
      <c r="K594" s="2" t="s">
        <v>588</v>
      </c>
      <c r="M594" t="s">
        <v>66</v>
      </c>
      <c r="AD594" s="33" t="str">
        <f t="shared" si="30"/>
        <v>Tuesday</v>
      </c>
    </row>
    <row r="595" spans="1:30" x14ac:dyDescent="0.2">
      <c r="A595" s="23">
        <v>40822</v>
      </c>
      <c r="B595" s="2" t="s">
        <v>179</v>
      </c>
      <c r="C595" t="s">
        <v>70</v>
      </c>
      <c r="D595" t="s">
        <v>207</v>
      </c>
      <c r="E595" s="2">
        <v>45814</v>
      </c>
      <c r="F595" s="2" cm="1">
        <f t="array" ref="F595">_xlfn.IFS(B595="Owner Surrender",E595,B595="Stray",E595+6,B595="Stray w/identification",E595+11,B595="Bite",E595+10,B595="Other",E595+30,B595="BAS",E595+56,B595="Seized",E595)</f>
        <v>45825</v>
      </c>
      <c r="G595" s="2">
        <v>45814</v>
      </c>
      <c r="H595" s="5">
        <f t="shared" si="29"/>
        <v>0</v>
      </c>
      <c r="I595" s="5">
        <f t="shared" ref="I595:I626" si="31">G595-F595</f>
        <v>-11</v>
      </c>
      <c r="J595" s="2" t="s">
        <v>8</v>
      </c>
      <c r="K595" s="2" t="s">
        <v>586</v>
      </c>
      <c r="AD595" s="33" t="str">
        <f t="shared" si="30"/>
        <v>Friday</v>
      </c>
    </row>
    <row r="596" spans="1:30" x14ac:dyDescent="0.2">
      <c r="A596" s="23">
        <v>40825</v>
      </c>
      <c r="B596" s="2" t="s">
        <v>179</v>
      </c>
      <c r="C596" t="s">
        <v>49</v>
      </c>
      <c r="D596" t="s">
        <v>207</v>
      </c>
      <c r="E596" s="2">
        <v>45783</v>
      </c>
      <c r="F596" s="2" cm="1">
        <f t="array" ref="F596">_xlfn.IFS(B596="Owner Surrender",E596,B596="Stray",E596+6,B596="Stray w/identification",E596+11,B596="Bite",E596+10,B596="Other",E596+30,B596="BAS",E596+56,B596="Seized",E596)</f>
        <v>45794</v>
      </c>
      <c r="G596" s="2">
        <v>45814</v>
      </c>
      <c r="H596" s="5">
        <f t="shared" si="29"/>
        <v>31</v>
      </c>
      <c r="I596" s="5">
        <f t="shared" si="31"/>
        <v>20</v>
      </c>
      <c r="J596" s="2" t="s">
        <v>8</v>
      </c>
      <c r="K596" s="2" t="s">
        <v>586</v>
      </c>
      <c r="AD596" s="33" t="str">
        <f t="shared" si="30"/>
        <v>Friday</v>
      </c>
    </row>
    <row r="597" spans="1:30" x14ac:dyDescent="0.2">
      <c r="A597" s="23">
        <v>40826</v>
      </c>
      <c r="B597" s="2" t="s">
        <v>36</v>
      </c>
      <c r="C597" t="s">
        <v>167</v>
      </c>
      <c r="D597" t="s">
        <v>207</v>
      </c>
      <c r="E597" s="2">
        <v>45814</v>
      </c>
      <c r="F597" s="2" cm="1">
        <f t="array" ref="F597">_xlfn.IFS(B597="Owner Surrender",E597,B597="Stray",E597+6,B597="Stray w/identification",E597+11,B597="Bite",E597+10,B597="Other",E597+30,B597="BAS",E597+56,B597="Seized",E597)</f>
        <v>45814</v>
      </c>
      <c r="G597" s="2">
        <v>45828</v>
      </c>
      <c r="H597" s="5">
        <f t="shared" si="29"/>
        <v>14</v>
      </c>
      <c r="I597" s="5">
        <f t="shared" si="31"/>
        <v>14</v>
      </c>
      <c r="J597" s="2" t="s">
        <v>31</v>
      </c>
      <c r="K597" s="2" t="s">
        <v>587</v>
      </c>
      <c r="AD597" s="33" t="str">
        <f t="shared" si="30"/>
        <v>Friday</v>
      </c>
    </row>
    <row r="598" spans="1:30" x14ac:dyDescent="0.2">
      <c r="A598" s="23">
        <v>40846</v>
      </c>
      <c r="B598" s="2" t="s">
        <v>38</v>
      </c>
      <c r="C598" t="s">
        <v>55</v>
      </c>
      <c r="D598" t="s">
        <v>207</v>
      </c>
      <c r="E598" s="2">
        <v>45816</v>
      </c>
      <c r="F598" s="2" cm="1">
        <f t="array" ref="F598">_xlfn.IFS(B598="Owner Surrender",E598,B598="Stray",E598+6,B598="Stray w/identification",E598+11,B598="Bite",E598+10,B598="Other",E598+30,B598="BAS",E598+56,B598="Seized",E598)</f>
        <v>45822</v>
      </c>
      <c r="G598" s="2">
        <v>45826</v>
      </c>
      <c r="H598" s="5">
        <f t="shared" si="29"/>
        <v>10</v>
      </c>
      <c r="I598" s="5">
        <f t="shared" si="31"/>
        <v>4</v>
      </c>
      <c r="J598" s="2" t="s">
        <v>31</v>
      </c>
      <c r="K598" s="2" t="s">
        <v>587</v>
      </c>
      <c r="L598" t="s">
        <v>418</v>
      </c>
      <c r="AD598" s="33" t="str">
        <f t="shared" si="30"/>
        <v>Wednesday</v>
      </c>
    </row>
    <row r="599" spans="1:30" x14ac:dyDescent="0.2">
      <c r="A599" s="23">
        <v>40847</v>
      </c>
      <c r="B599" s="2" t="s">
        <v>38</v>
      </c>
      <c r="C599" t="s">
        <v>107</v>
      </c>
      <c r="D599" t="s">
        <v>207</v>
      </c>
      <c r="E599" s="2">
        <v>45816</v>
      </c>
      <c r="F599" s="2" cm="1">
        <f t="array" ref="F599">_xlfn.IFS(B599="Owner Surrender",E599,B599="Stray",E599+6,B599="Stray w/identification",E599+11,B599="Bite",E599+10,B599="Other",E599+30,B599="BAS",E599+56,B599="Seized",E599)</f>
        <v>45822</v>
      </c>
      <c r="G599" s="2">
        <v>45817</v>
      </c>
      <c r="H599" s="5">
        <f t="shared" si="29"/>
        <v>1</v>
      </c>
      <c r="I599" s="5">
        <f t="shared" si="31"/>
        <v>-5</v>
      </c>
      <c r="J599" s="2" t="s">
        <v>8</v>
      </c>
      <c r="K599" s="2" t="s">
        <v>586</v>
      </c>
      <c r="AD599" s="33" t="str">
        <f t="shared" si="30"/>
        <v>Monday</v>
      </c>
    </row>
    <row r="600" spans="1:30" x14ac:dyDescent="0.2">
      <c r="A600" s="23">
        <v>40850</v>
      </c>
      <c r="B600" s="2" t="s">
        <v>179</v>
      </c>
      <c r="C600" t="s">
        <v>48</v>
      </c>
      <c r="D600" t="s">
        <v>207</v>
      </c>
      <c r="E600" s="2">
        <v>45817</v>
      </c>
      <c r="F600" s="2" cm="1">
        <f t="array" ref="F600">_xlfn.IFS(B600="Owner Surrender",E600,B600="Stray",E600+6,B600="Stray w/identification",E600+11,B600="Bite",E600+10,B600="Other",E600+30,B600="BAS",E600+56,B600="Seized",E600)</f>
        <v>45828</v>
      </c>
      <c r="G600" s="2">
        <v>45834</v>
      </c>
      <c r="H600" s="5">
        <f t="shared" si="29"/>
        <v>17</v>
      </c>
      <c r="I600" s="5">
        <f t="shared" si="31"/>
        <v>6</v>
      </c>
      <c r="J600" s="2" t="s">
        <v>31</v>
      </c>
      <c r="K600" s="2" t="s">
        <v>587</v>
      </c>
      <c r="L600" t="s">
        <v>572</v>
      </c>
      <c r="AD600" s="33" t="str">
        <f t="shared" si="30"/>
        <v>Thursday</v>
      </c>
    </row>
    <row r="601" spans="1:30" x14ac:dyDescent="0.2">
      <c r="A601" s="23">
        <v>40851</v>
      </c>
      <c r="B601" s="2" t="s">
        <v>38</v>
      </c>
      <c r="C601" t="s">
        <v>49</v>
      </c>
      <c r="D601" t="s">
        <v>207</v>
      </c>
      <c r="E601" s="2">
        <v>45817</v>
      </c>
      <c r="F601" s="2" cm="1">
        <f t="array" ref="F601">_xlfn.IFS(B601="Owner Surrender",E601,B601="Stray",E601+6,B601="Stray w/identification",E601+11,B601="Bite",E601+10,B601="Other",E601+30,B601="BAS",E601+56,B601="Seized",E601)</f>
        <v>45823</v>
      </c>
      <c r="G601" s="2">
        <v>45826</v>
      </c>
      <c r="H601" s="5">
        <f t="shared" si="29"/>
        <v>9</v>
      </c>
      <c r="I601" s="5">
        <f t="shared" si="31"/>
        <v>3</v>
      </c>
      <c r="J601" s="2" t="s">
        <v>31</v>
      </c>
      <c r="K601" s="2" t="s">
        <v>587</v>
      </c>
      <c r="L601" t="s">
        <v>571</v>
      </c>
      <c r="AD601" s="33" t="str">
        <f t="shared" si="30"/>
        <v>Wednesday</v>
      </c>
    </row>
    <row r="602" spans="1:30" x14ac:dyDescent="0.2">
      <c r="A602" s="23">
        <v>40866</v>
      </c>
      <c r="B602" s="2" t="s">
        <v>36</v>
      </c>
      <c r="C602" t="s">
        <v>49</v>
      </c>
      <c r="D602" t="s">
        <v>207</v>
      </c>
      <c r="E602" s="2">
        <v>45818</v>
      </c>
      <c r="F602" s="2" cm="1">
        <f t="array" ref="F602">_xlfn.IFS(B602="Owner Surrender",E602,B602="Stray",E602+6,B602="Stray w/identification",E602+11,B602="Bite",E602+10,B602="Other",E602+30,B602="BAS",E602+56,B602="Seized",E602)</f>
        <v>45818</v>
      </c>
      <c r="G602" s="2">
        <v>45826</v>
      </c>
      <c r="H602" s="5">
        <f t="shared" si="29"/>
        <v>8</v>
      </c>
      <c r="I602" s="5">
        <f t="shared" si="31"/>
        <v>8</v>
      </c>
      <c r="J602" s="2" t="s">
        <v>31</v>
      </c>
      <c r="K602" s="2" t="s">
        <v>587</v>
      </c>
      <c r="L602" t="s">
        <v>259</v>
      </c>
      <c r="AD602" s="33" t="str">
        <f t="shared" si="30"/>
        <v>Wednesday</v>
      </c>
    </row>
    <row r="603" spans="1:30" x14ac:dyDescent="0.2">
      <c r="A603" s="23">
        <v>40867</v>
      </c>
      <c r="B603" s="2" t="s">
        <v>36</v>
      </c>
      <c r="C603" t="s">
        <v>72</v>
      </c>
      <c r="D603" t="s">
        <v>208</v>
      </c>
      <c r="E603" s="2">
        <v>45818</v>
      </c>
      <c r="F603" s="2" cm="1">
        <f t="array" ref="F603">_xlfn.IFS(B603="Owner Surrender",E603,B603="Stray",E603+6,B603="Stray w/identification",E603+11,B603="Bite",E603+10,B603="Other",E603+30,B603="BAS",E603+56,B603="Seized",E603)</f>
        <v>45818</v>
      </c>
      <c r="G603" s="2">
        <v>45826</v>
      </c>
      <c r="H603" s="5">
        <f t="shared" si="29"/>
        <v>8</v>
      </c>
      <c r="I603" s="5">
        <f t="shared" si="31"/>
        <v>8</v>
      </c>
      <c r="J603" s="2" t="s">
        <v>31</v>
      </c>
      <c r="K603" s="2" t="s">
        <v>587</v>
      </c>
      <c r="L603" t="s">
        <v>576</v>
      </c>
      <c r="AD603" s="33" t="str">
        <f t="shared" si="30"/>
        <v>Wednesday</v>
      </c>
    </row>
    <row r="604" spans="1:30" x14ac:dyDescent="0.2">
      <c r="A604" s="23">
        <v>40868</v>
      </c>
      <c r="B604" s="2" t="s">
        <v>36</v>
      </c>
      <c r="C604" t="s">
        <v>569</v>
      </c>
      <c r="D604" t="s">
        <v>208</v>
      </c>
      <c r="E604" s="2">
        <v>45819</v>
      </c>
      <c r="F604" s="2" cm="1">
        <f t="array" ref="F604">_xlfn.IFS(B604="Owner Surrender",E604,B604="Stray",E604+6,B604="Stray w/identification",E604+11,B604="Bite",E604+10,B604="Other",E604+30,B604="BAS",E604+56,B604="Seized",E604)</f>
        <v>45819</v>
      </c>
      <c r="G604" s="2">
        <v>45822</v>
      </c>
      <c r="H604" s="5">
        <f t="shared" si="29"/>
        <v>3</v>
      </c>
      <c r="I604" s="5">
        <f t="shared" si="31"/>
        <v>3</v>
      </c>
      <c r="J604" s="2" t="s">
        <v>11</v>
      </c>
      <c r="K604" s="2" t="s">
        <v>586</v>
      </c>
      <c r="L604" t="s">
        <v>570</v>
      </c>
      <c r="AD604" s="33" t="str">
        <f t="shared" si="30"/>
        <v>Saturday</v>
      </c>
    </row>
    <row r="605" spans="1:30" x14ac:dyDescent="0.2">
      <c r="A605" s="23">
        <v>40876</v>
      </c>
      <c r="B605" s="2" t="s">
        <v>179</v>
      </c>
      <c r="C605" t="s">
        <v>72</v>
      </c>
      <c r="D605" t="s">
        <v>207</v>
      </c>
      <c r="E605" s="2">
        <v>45819</v>
      </c>
      <c r="F605" s="2" cm="1">
        <f t="array" ref="F605">_xlfn.IFS(B605="Owner Surrender",E605,B605="Stray",E605+6,B605="Stray w/identification",E605+11,B605="Bite",E605+10,B605="Other",E605+30,B605="BAS",E605+56,B605="Seized",E605)</f>
        <v>45830</v>
      </c>
      <c r="G605" s="2">
        <v>45827</v>
      </c>
      <c r="H605" s="5">
        <f t="shared" si="29"/>
        <v>8</v>
      </c>
      <c r="I605" s="5">
        <f t="shared" si="31"/>
        <v>-3</v>
      </c>
      <c r="J605" s="2" t="s">
        <v>8</v>
      </c>
      <c r="K605" s="2" t="s">
        <v>586</v>
      </c>
      <c r="L605" t="s">
        <v>225</v>
      </c>
      <c r="AD605" s="33" t="str">
        <f t="shared" si="30"/>
        <v>Thursday</v>
      </c>
    </row>
    <row r="606" spans="1:30" x14ac:dyDescent="0.2">
      <c r="A606" s="23">
        <v>40879</v>
      </c>
      <c r="B606" s="2" t="s">
        <v>179</v>
      </c>
      <c r="C606" t="s">
        <v>49</v>
      </c>
      <c r="D606" t="s">
        <v>209</v>
      </c>
      <c r="E606" s="2">
        <v>45819</v>
      </c>
      <c r="F606" s="2" cm="1">
        <f t="array" ref="F606">_xlfn.IFS(B606="Owner Surrender",E606,B606="Stray",E606+6,B606="Stray w/identification",E606+11,B606="Bite",E606+10,B606="Other",E606+30,B606="BAS",E606+56,B606="Seized",E606)</f>
        <v>45830</v>
      </c>
      <c r="G606" s="2">
        <v>45841</v>
      </c>
      <c r="H606" s="5">
        <f t="shared" si="29"/>
        <v>22</v>
      </c>
      <c r="I606" s="5">
        <f t="shared" si="31"/>
        <v>11</v>
      </c>
      <c r="J606" s="2" t="s">
        <v>11</v>
      </c>
      <c r="K606" s="2" t="s">
        <v>586</v>
      </c>
      <c r="M606" t="s">
        <v>188</v>
      </c>
      <c r="AD606" s="33" t="str">
        <f t="shared" si="30"/>
        <v>Thursday</v>
      </c>
    </row>
    <row r="607" spans="1:30" x14ac:dyDescent="0.2">
      <c r="A607" s="23">
        <v>40880</v>
      </c>
      <c r="B607" s="2" t="s">
        <v>38</v>
      </c>
      <c r="C607" t="s">
        <v>568</v>
      </c>
      <c r="D607" t="s">
        <v>207</v>
      </c>
      <c r="E607" s="2">
        <v>45819</v>
      </c>
      <c r="F607" s="2" cm="1">
        <f t="array" ref="F607">_xlfn.IFS(B607="Owner Surrender",E607,B607="Stray",E607+6,B607="Stray w/identification",E607+11,B607="Bite",E607+10,B607="Other",E607+30,B607="BAS",E607+56,B607="Seized",E607)</f>
        <v>45825</v>
      </c>
      <c r="G607" s="2">
        <v>45826</v>
      </c>
      <c r="H607" s="5">
        <f t="shared" si="29"/>
        <v>7</v>
      </c>
      <c r="I607" s="5">
        <f t="shared" si="31"/>
        <v>1</v>
      </c>
      <c r="J607" s="2" t="s">
        <v>11</v>
      </c>
      <c r="K607" s="2" t="s">
        <v>586</v>
      </c>
      <c r="AD607" s="33" t="str">
        <f t="shared" si="30"/>
        <v>Wednesday</v>
      </c>
    </row>
    <row r="608" spans="1:30" x14ac:dyDescent="0.2">
      <c r="A608" s="23">
        <v>40881</v>
      </c>
      <c r="B608" s="2" t="s">
        <v>36</v>
      </c>
      <c r="C608" t="s">
        <v>139</v>
      </c>
      <c r="D608" t="s">
        <v>207</v>
      </c>
      <c r="E608" s="2">
        <v>45819</v>
      </c>
      <c r="F608" s="2" cm="1">
        <f t="array" ref="F608">_xlfn.IFS(B608="Owner Surrender",E608,B608="Stray",E608+6,B608="Stray w/identification",E608+11,B608="Bite",E608+10,B608="Other",E608+30,B608="BAS",E608+56,B608="Seized",E608)</f>
        <v>45819</v>
      </c>
      <c r="G608" s="2">
        <v>45820</v>
      </c>
      <c r="H608" s="5">
        <f t="shared" si="29"/>
        <v>1</v>
      </c>
      <c r="I608" s="5">
        <f t="shared" si="31"/>
        <v>1</v>
      </c>
      <c r="J608" s="2" t="s">
        <v>18</v>
      </c>
      <c r="K608" s="2" t="s">
        <v>586</v>
      </c>
      <c r="L608" t="s">
        <v>567</v>
      </c>
      <c r="AD608" s="33" t="str">
        <f t="shared" si="30"/>
        <v>Thursday</v>
      </c>
    </row>
    <row r="609" spans="1:30" x14ac:dyDescent="0.2">
      <c r="A609" s="23">
        <v>40883</v>
      </c>
      <c r="B609" s="2" t="s">
        <v>38</v>
      </c>
      <c r="C609" t="s">
        <v>107</v>
      </c>
      <c r="D609" t="s">
        <v>207</v>
      </c>
      <c r="E609" s="2">
        <v>45820</v>
      </c>
      <c r="F609" s="2" cm="1">
        <f t="array" ref="F609">_xlfn.IFS(B609="Owner Surrender",E609,B609="Stray",E609+6,B609="Stray w/identification",E609+11,B609="Bite",E609+10,B609="Other",E609+30,B609="BAS",E609+56,B609="Seized",E609)</f>
        <v>45826</v>
      </c>
      <c r="G609" s="2">
        <v>45820</v>
      </c>
      <c r="H609" s="5">
        <f t="shared" si="29"/>
        <v>0</v>
      </c>
      <c r="I609" s="5">
        <f t="shared" si="31"/>
        <v>-6</v>
      </c>
      <c r="J609" s="2" t="s">
        <v>8</v>
      </c>
      <c r="K609" s="2" t="s">
        <v>586</v>
      </c>
      <c r="AD609" s="33" t="str">
        <f t="shared" si="30"/>
        <v>Thursday</v>
      </c>
    </row>
    <row r="610" spans="1:30" x14ac:dyDescent="0.2">
      <c r="A610" s="23">
        <v>40884</v>
      </c>
      <c r="B610" s="2" t="s">
        <v>38</v>
      </c>
      <c r="C610" t="s">
        <v>107</v>
      </c>
      <c r="D610" t="s">
        <v>207</v>
      </c>
      <c r="E610" s="2">
        <v>45820</v>
      </c>
      <c r="F610" s="2" cm="1">
        <f t="array" ref="F610">_xlfn.IFS(B610="Owner Surrender",E610,B610="Stray",E610+6,B610="Stray w/identification",E610+11,B610="Bite",E610+10,B610="Other",E610+30,B610="BAS",E610+56,B610="Seized",E610)</f>
        <v>45826</v>
      </c>
      <c r="G610" s="2">
        <v>45820</v>
      </c>
      <c r="H610" s="5">
        <f t="shared" si="29"/>
        <v>0</v>
      </c>
      <c r="I610" s="5">
        <f t="shared" si="31"/>
        <v>-6</v>
      </c>
      <c r="J610" s="2" t="s">
        <v>8</v>
      </c>
      <c r="K610" s="2" t="s">
        <v>586</v>
      </c>
      <c r="AD610" s="33" t="str">
        <f t="shared" si="30"/>
        <v>Thursday</v>
      </c>
    </row>
    <row r="611" spans="1:30" x14ac:dyDescent="0.2">
      <c r="A611" s="23">
        <v>40890</v>
      </c>
      <c r="B611" s="2" t="s">
        <v>36</v>
      </c>
      <c r="C611" t="s">
        <v>518</v>
      </c>
      <c r="D611" t="s">
        <v>207</v>
      </c>
      <c r="E611" s="2">
        <v>45820</v>
      </c>
      <c r="F611" s="2" cm="1">
        <f t="array" ref="F611">_xlfn.IFS(B611="Owner Surrender",E611,B611="Stray",E611+6,B611="Stray w/identification",E611+11,B611="Bite",E611+10,B611="Other",E611+30,B611="BAS",E611+56,B611="Seized",E611)</f>
        <v>45820</v>
      </c>
      <c r="G611" s="2">
        <v>45832</v>
      </c>
      <c r="H611" s="5">
        <f t="shared" si="29"/>
        <v>12</v>
      </c>
      <c r="I611" s="5">
        <f t="shared" si="31"/>
        <v>12</v>
      </c>
      <c r="J611" s="2" t="s">
        <v>11</v>
      </c>
      <c r="K611" s="2" t="s">
        <v>586</v>
      </c>
      <c r="L611" t="s">
        <v>124</v>
      </c>
      <c r="AD611" s="33" t="str">
        <f t="shared" si="30"/>
        <v>Tuesday</v>
      </c>
    </row>
    <row r="612" spans="1:30" x14ac:dyDescent="0.2">
      <c r="A612" s="23">
        <v>40891</v>
      </c>
      <c r="B612" s="2" t="s">
        <v>36</v>
      </c>
      <c r="C612" t="s">
        <v>48</v>
      </c>
      <c r="D612" t="s">
        <v>207</v>
      </c>
      <c r="E612" s="2">
        <v>45820</v>
      </c>
      <c r="F612" s="2" cm="1">
        <f t="array" ref="F612">_xlfn.IFS(B612="Owner Surrender",E612,B612="Stray",E612+6,B612="Stray w/identification",E612+11,B612="Bite",E612+10,B612="Other",E612+30,B612="BAS",E612+56,B612="Seized",E612)</f>
        <v>45820</v>
      </c>
      <c r="G612" s="2">
        <v>45826</v>
      </c>
      <c r="H612" s="5">
        <f t="shared" si="29"/>
        <v>6</v>
      </c>
      <c r="I612" s="5">
        <f t="shared" si="31"/>
        <v>6</v>
      </c>
      <c r="J612" s="2" t="s">
        <v>31</v>
      </c>
      <c r="K612" s="2" t="s">
        <v>587</v>
      </c>
      <c r="L612" t="s">
        <v>566</v>
      </c>
      <c r="AD612" s="33" t="str">
        <f t="shared" si="30"/>
        <v>Wednesday</v>
      </c>
    </row>
    <row r="613" spans="1:30" x14ac:dyDescent="0.2">
      <c r="A613" s="23">
        <v>40900</v>
      </c>
      <c r="B613" s="2" t="s">
        <v>36</v>
      </c>
      <c r="C613" t="s">
        <v>56</v>
      </c>
      <c r="D613" t="s">
        <v>210</v>
      </c>
      <c r="E613" s="2">
        <v>45821</v>
      </c>
      <c r="F613" s="2" cm="1">
        <f t="array" ref="F613">_xlfn.IFS(B613="Owner Surrender",E613,B613="Stray",E613+6,B613="Stray w/identification",E613+11,B613="Bite",E613+10,B613="Other",E613+30,B613="BAS",E613+56,B613="Seized",E613)</f>
        <v>45821</v>
      </c>
      <c r="G613" s="2">
        <v>45821</v>
      </c>
      <c r="H613" s="5">
        <f t="shared" si="29"/>
        <v>0</v>
      </c>
      <c r="I613" s="5">
        <f t="shared" si="31"/>
        <v>0</v>
      </c>
      <c r="J613" s="2" t="s">
        <v>31</v>
      </c>
      <c r="K613" s="2" t="s">
        <v>587</v>
      </c>
      <c r="AD613" s="33" t="str">
        <f t="shared" si="30"/>
        <v>Friday</v>
      </c>
    </row>
    <row r="614" spans="1:30" x14ac:dyDescent="0.2">
      <c r="A614" s="23">
        <v>40902</v>
      </c>
      <c r="B614" s="2" t="s">
        <v>36</v>
      </c>
      <c r="C614" t="s">
        <v>72</v>
      </c>
      <c r="D614" t="s">
        <v>207</v>
      </c>
      <c r="E614" s="2">
        <v>45822</v>
      </c>
      <c r="F614" s="2" cm="1">
        <f t="array" ref="F614">_xlfn.IFS(B614="Owner Surrender",E614,B614="Stray",E614+6,B614="Stray w/identification",E614+11,B614="Bite",E614+10,B614="Other",E614+30,B614="BAS",E614+56,B614="Seized",E614)</f>
        <v>45822</v>
      </c>
      <c r="G614" s="2">
        <v>45826</v>
      </c>
      <c r="H614" s="5">
        <f t="shared" si="29"/>
        <v>4</v>
      </c>
      <c r="I614" s="5">
        <f t="shared" si="31"/>
        <v>4</v>
      </c>
      <c r="J614" s="2" t="s">
        <v>31</v>
      </c>
      <c r="K614" s="2" t="s">
        <v>587</v>
      </c>
      <c r="AD614" s="33" t="str">
        <f t="shared" si="30"/>
        <v>Wednesday</v>
      </c>
    </row>
    <row r="615" spans="1:30" x14ac:dyDescent="0.2">
      <c r="A615" s="23">
        <v>40903</v>
      </c>
      <c r="B615" s="2" t="s">
        <v>36</v>
      </c>
      <c r="C615" t="s">
        <v>49</v>
      </c>
      <c r="D615" t="s">
        <v>209</v>
      </c>
      <c r="E615" s="2">
        <v>45822</v>
      </c>
      <c r="F615" s="2" cm="1">
        <f t="array" ref="F615">_xlfn.IFS(B615="Owner Surrender",E615,B615="Stray",E615+6,B615="Stray w/identification",E615+11,B615="Bite",E615+10,B615="Other",E615+30,B615="BAS",E615+56,B615="Seized",E615)</f>
        <v>45822</v>
      </c>
      <c r="G615" s="2">
        <v>45826</v>
      </c>
      <c r="H615" s="5">
        <f t="shared" si="29"/>
        <v>4</v>
      </c>
      <c r="I615" s="5">
        <f t="shared" si="31"/>
        <v>4</v>
      </c>
      <c r="J615" s="2" t="s">
        <v>31</v>
      </c>
      <c r="K615" s="2" t="s">
        <v>587</v>
      </c>
      <c r="AD615" s="33" t="str">
        <f t="shared" si="30"/>
        <v>Wednesday</v>
      </c>
    </row>
    <row r="616" spans="1:30" x14ac:dyDescent="0.2">
      <c r="A616" s="23">
        <v>40904</v>
      </c>
      <c r="B616" s="2" t="s">
        <v>38</v>
      </c>
      <c r="C616" t="s">
        <v>49</v>
      </c>
      <c r="D616" t="s">
        <v>207</v>
      </c>
      <c r="E616" s="2">
        <v>45822</v>
      </c>
      <c r="F616" s="2" cm="1">
        <f t="array" ref="F616">_xlfn.IFS(B616="Owner Surrender",E616,B616="Stray",E616+6,B616="Stray w/identification",E616+11,B616="Bite",E616+10,B616="Other",E616+30,B616="BAS",E616+56,B616="Seized",E616)</f>
        <v>45828</v>
      </c>
      <c r="G616" s="2">
        <v>45826</v>
      </c>
      <c r="H616" s="5">
        <f t="shared" si="29"/>
        <v>4</v>
      </c>
      <c r="I616" s="5">
        <f t="shared" si="31"/>
        <v>-2</v>
      </c>
      <c r="J616" s="2" t="s">
        <v>31</v>
      </c>
      <c r="K616" s="2" t="s">
        <v>587</v>
      </c>
      <c r="AD616" s="33" t="str">
        <f t="shared" si="30"/>
        <v>Wednesday</v>
      </c>
    </row>
    <row r="617" spans="1:30" x14ac:dyDescent="0.2">
      <c r="A617" s="23">
        <v>40905</v>
      </c>
      <c r="B617" s="2" t="s">
        <v>179</v>
      </c>
      <c r="C617" t="s">
        <v>48</v>
      </c>
      <c r="D617" t="s">
        <v>207</v>
      </c>
      <c r="E617" s="2">
        <v>45824</v>
      </c>
      <c r="F617" s="2" cm="1">
        <f t="array" ref="F617">_xlfn.IFS(B617="Owner Surrender",E617,B617="Stray",E617+6,B617="Stray w/identification",E617+11,B617="Bite",E617+10,B617="Other",E617+30,B617="BAS",E617+56,B617="Seized",E617)</f>
        <v>45835</v>
      </c>
      <c r="G617" s="2">
        <v>45824</v>
      </c>
      <c r="H617" s="5">
        <f t="shared" si="29"/>
        <v>0</v>
      </c>
      <c r="I617" s="5">
        <f t="shared" si="31"/>
        <v>-11</v>
      </c>
      <c r="J617" s="2" t="s">
        <v>8</v>
      </c>
      <c r="K617" s="2" t="s">
        <v>586</v>
      </c>
      <c r="AD617" s="33" t="str">
        <f t="shared" si="30"/>
        <v>Monday</v>
      </c>
    </row>
    <row r="618" spans="1:30" x14ac:dyDescent="0.2">
      <c r="A618" s="23">
        <v>40907</v>
      </c>
      <c r="B618" s="2" t="s">
        <v>179</v>
      </c>
      <c r="C618" t="s">
        <v>48</v>
      </c>
      <c r="D618" t="s">
        <v>207</v>
      </c>
      <c r="E618" s="2">
        <v>45822</v>
      </c>
      <c r="F618" s="2" cm="1">
        <f t="array" ref="F618">_xlfn.IFS(B618="Owner Surrender",E618,B618="Stray",E618+6,B618="Stray w/identification",E618+11,B618="Bite",E618+10,B618="Other",E618+30,B618="BAS",E618+56,B618="Seized",E618)</f>
        <v>45833</v>
      </c>
      <c r="G618" s="2">
        <v>45824</v>
      </c>
      <c r="H618" s="5">
        <f t="shared" si="29"/>
        <v>2</v>
      </c>
      <c r="I618" s="5">
        <f t="shared" si="31"/>
        <v>-9</v>
      </c>
      <c r="J618" s="2" t="s">
        <v>8</v>
      </c>
      <c r="K618" s="2" t="s">
        <v>586</v>
      </c>
      <c r="AD618" s="33" t="str">
        <f t="shared" si="30"/>
        <v>Monday</v>
      </c>
    </row>
    <row r="619" spans="1:30" x14ac:dyDescent="0.2">
      <c r="A619" s="23">
        <v>40908</v>
      </c>
      <c r="B619" s="2" t="s">
        <v>36</v>
      </c>
      <c r="C619" t="s">
        <v>49</v>
      </c>
      <c r="D619" t="s">
        <v>207</v>
      </c>
      <c r="E619" s="2">
        <v>45824</v>
      </c>
      <c r="F619" s="2" cm="1">
        <f t="array" ref="F619">_xlfn.IFS(B619="Owner Surrender",E619,B619="Stray",E619+6,B619="Stray w/identification",E619+11,B619="Bite",E619+10,B619="Other",E619+30,B619="BAS",E619+56,B619="Seized",E619)</f>
        <v>45824</v>
      </c>
      <c r="G619" s="2">
        <v>45827</v>
      </c>
      <c r="H619" s="5">
        <f t="shared" si="29"/>
        <v>3</v>
      </c>
      <c r="I619" s="5">
        <f t="shared" si="31"/>
        <v>3</v>
      </c>
      <c r="J619" s="2" t="s">
        <v>8</v>
      </c>
      <c r="K619" s="2" t="s">
        <v>586</v>
      </c>
      <c r="AD619" s="33" t="str">
        <f t="shared" si="30"/>
        <v>Thursday</v>
      </c>
    </row>
    <row r="620" spans="1:30" x14ac:dyDescent="0.2">
      <c r="A620" s="23">
        <v>40909</v>
      </c>
      <c r="B620" s="2" t="s">
        <v>38</v>
      </c>
      <c r="C620" t="s">
        <v>422</v>
      </c>
      <c r="D620" t="s">
        <v>209</v>
      </c>
      <c r="E620" s="2">
        <v>45822</v>
      </c>
      <c r="F620" s="2" cm="1">
        <f t="array" ref="F620">_xlfn.IFS(B620="Owner Surrender",E620,B620="Stray",E620+6,B620="Stray w/identification",E620+11,B620="Bite",E620+10,B620="Other",E620+30,B620="BAS",E620+56,B620="Seized",E620)</f>
        <v>45828</v>
      </c>
      <c r="G620" s="2">
        <v>45834</v>
      </c>
      <c r="H620" s="5">
        <f t="shared" si="29"/>
        <v>12</v>
      </c>
      <c r="I620" s="5">
        <f t="shared" si="31"/>
        <v>6</v>
      </c>
      <c r="J620" s="2" t="s">
        <v>31</v>
      </c>
      <c r="K620" s="2" t="s">
        <v>587</v>
      </c>
      <c r="L620" t="s">
        <v>565</v>
      </c>
      <c r="AD620" s="33" t="str">
        <f t="shared" si="30"/>
        <v>Thursday</v>
      </c>
    </row>
    <row r="621" spans="1:30" x14ac:dyDescent="0.2">
      <c r="A621" s="23">
        <v>40910</v>
      </c>
      <c r="B621" s="2" t="s">
        <v>179</v>
      </c>
      <c r="C621" t="s">
        <v>49</v>
      </c>
      <c r="D621" t="s">
        <v>207</v>
      </c>
      <c r="E621" s="2">
        <v>45822</v>
      </c>
      <c r="F621" s="2" cm="1">
        <f t="array" ref="F621">_xlfn.IFS(B621="Owner Surrender",E621,B621="Stray",E621+6,B621="Stray w/identification",E621+11,B621="Bite",E621+10,B621="Other",E621+30,B621="BAS",E621+56,B621="Seized",E621)</f>
        <v>45833</v>
      </c>
      <c r="G621" s="2">
        <v>45824</v>
      </c>
      <c r="H621" s="5">
        <f t="shared" si="29"/>
        <v>2</v>
      </c>
      <c r="I621" s="5">
        <f t="shared" si="31"/>
        <v>-9</v>
      </c>
      <c r="J621" s="2" t="s">
        <v>8</v>
      </c>
      <c r="K621" s="2" t="s">
        <v>586</v>
      </c>
      <c r="AD621" s="33" t="str">
        <f t="shared" si="30"/>
        <v>Monday</v>
      </c>
    </row>
    <row r="622" spans="1:30" x14ac:dyDescent="0.2">
      <c r="A622" s="23">
        <v>40911</v>
      </c>
      <c r="B622" s="2" t="s">
        <v>38</v>
      </c>
      <c r="C622" t="s">
        <v>148</v>
      </c>
      <c r="D622" t="s">
        <v>208</v>
      </c>
      <c r="E622" s="2">
        <v>45824</v>
      </c>
      <c r="F622" s="2" cm="1">
        <f t="array" ref="F622">_xlfn.IFS(B622="Owner Surrender",E622,B622="Stray",E622+6,B622="Stray w/identification",E622+11,B622="Bite",E622+10,B622="Other",E622+30,B622="BAS",E622+56,B622="Seized",E622)</f>
        <v>45830</v>
      </c>
      <c r="G622" s="2">
        <v>45832</v>
      </c>
      <c r="H622" s="5">
        <f t="shared" si="29"/>
        <v>8</v>
      </c>
      <c r="I622" s="5">
        <f t="shared" si="31"/>
        <v>2</v>
      </c>
      <c r="J622" s="2" t="s">
        <v>11</v>
      </c>
      <c r="K622" s="2" t="s">
        <v>586</v>
      </c>
      <c r="AD622" s="33" t="str">
        <f t="shared" si="30"/>
        <v>Tuesday</v>
      </c>
    </row>
    <row r="623" spans="1:30" x14ac:dyDescent="0.2">
      <c r="A623" s="23">
        <v>40917</v>
      </c>
      <c r="B623" s="2" t="s">
        <v>36</v>
      </c>
      <c r="C623" t="s">
        <v>70</v>
      </c>
      <c r="D623" t="s">
        <v>207</v>
      </c>
      <c r="E623" s="2">
        <v>45824</v>
      </c>
      <c r="F623" s="2" cm="1">
        <f t="array" ref="F623">_xlfn.IFS(B623="Owner Surrender",E623,B623="Stray",E623+6,B623="Stray w/identification",E623+11,B623="Bite",E623+10,B623="Other",E623+30,B623="BAS",E623+56,B623="Seized",E623)</f>
        <v>45824</v>
      </c>
      <c r="G623" s="2">
        <v>45849</v>
      </c>
      <c r="H623" s="5">
        <f t="shared" si="29"/>
        <v>25</v>
      </c>
      <c r="I623" s="5">
        <f t="shared" si="31"/>
        <v>25</v>
      </c>
      <c r="J623" s="2" t="s">
        <v>18</v>
      </c>
      <c r="K623" s="2" t="s">
        <v>586</v>
      </c>
      <c r="L623" s="2" t="s">
        <v>85</v>
      </c>
      <c r="M623" s="2" t="s">
        <v>84</v>
      </c>
      <c r="AD623" s="33" t="str">
        <f t="shared" si="30"/>
        <v>Friday</v>
      </c>
    </row>
    <row r="624" spans="1:30" x14ac:dyDescent="0.2">
      <c r="A624" s="23">
        <v>40918</v>
      </c>
      <c r="B624" s="2" t="s">
        <v>36</v>
      </c>
      <c r="C624" t="s">
        <v>148</v>
      </c>
      <c r="D624" t="s">
        <v>207</v>
      </c>
      <c r="E624" s="2">
        <v>45824</v>
      </c>
      <c r="F624" s="2" cm="1">
        <f t="array" ref="F624">_xlfn.IFS(B624="Owner Surrender",E624,B624="Stray",E624+6,B624="Stray w/identification",E624+11,B624="Bite",E624+10,B624="Other",E624+30,B624="BAS",E624+56,B624="Seized",E624)</f>
        <v>45824</v>
      </c>
      <c r="G624" s="2">
        <v>45828</v>
      </c>
      <c r="H624" s="5">
        <f t="shared" si="29"/>
        <v>4</v>
      </c>
      <c r="I624" s="5">
        <f t="shared" si="31"/>
        <v>4</v>
      </c>
      <c r="J624" s="2" t="s">
        <v>31</v>
      </c>
      <c r="K624" s="2" t="s">
        <v>587</v>
      </c>
      <c r="L624" t="s">
        <v>564</v>
      </c>
      <c r="AD624" s="33" t="str">
        <f t="shared" si="30"/>
        <v>Friday</v>
      </c>
    </row>
    <row r="625" spans="1:30" x14ac:dyDescent="0.2">
      <c r="A625" s="23">
        <v>40919</v>
      </c>
      <c r="B625" s="2" t="s">
        <v>36</v>
      </c>
      <c r="C625" t="s">
        <v>53</v>
      </c>
      <c r="D625" t="s">
        <v>209</v>
      </c>
      <c r="E625" s="2">
        <v>45824</v>
      </c>
      <c r="F625" s="2" cm="1">
        <f t="array" ref="F625">_xlfn.IFS(B625="Owner Surrender",E625,B625="Stray",E625+6,B625="Stray w/identification",E625+11,B625="Bite",E625+10,B625="Other",E625+30,B625="BAS",E625+56,B625="Seized",E625)</f>
        <v>45824</v>
      </c>
      <c r="G625" s="2">
        <v>45831</v>
      </c>
      <c r="H625" s="5">
        <f t="shared" si="29"/>
        <v>7</v>
      </c>
      <c r="I625" s="5">
        <f t="shared" si="31"/>
        <v>7</v>
      </c>
      <c r="J625" s="2" t="s">
        <v>11</v>
      </c>
      <c r="K625" s="2" t="s">
        <v>586</v>
      </c>
      <c r="L625" t="s">
        <v>563</v>
      </c>
      <c r="AD625" s="33" t="str">
        <f t="shared" si="30"/>
        <v>Monday</v>
      </c>
    </row>
    <row r="626" spans="1:30" x14ac:dyDescent="0.2">
      <c r="A626" s="23">
        <v>40920</v>
      </c>
      <c r="B626" s="2" t="s">
        <v>60</v>
      </c>
      <c r="C626" t="s">
        <v>53</v>
      </c>
      <c r="D626" t="s">
        <v>207</v>
      </c>
      <c r="E626" s="2">
        <v>45825</v>
      </c>
      <c r="F626" s="2" cm="1">
        <f t="array" ref="F626">_xlfn.IFS(B626="Owner Surrender",E626,B626="Stray",E626+6,B626="Stray w/identification",E626+11,B626="Bite",E626+10,B626="Other",E626+30,B626="BAS",E626+56,B626="Seized",E626)</f>
        <v>45855</v>
      </c>
      <c r="G626" s="2">
        <v>45828</v>
      </c>
      <c r="H626" s="5">
        <f t="shared" si="29"/>
        <v>3</v>
      </c>
      <c r="I626" s="5">
        <f t="shared" si="31"/>
        <v>-27</v>
      </c>
      <c r="J626" s="2" t="s">
        <v>8</v>
      </c>
      <c r="K626" s="2" t="s">
        <v>586</v>
      </c>
      <c r="AD626" s="33" t="str">
        <f t="shared" si="30"/>
        <v>Friday</v>
      </c>
    </row>
    <row r="627" spans="1:30" x14ac:dyDescent="0.2">
      <c r="A627" s="23">
        <v>40921</v>
      </c>
      <c r="B627" s="2" t="s">
        <v>36</v>
      </c>
      <c r="C627" t="s">
        <v>49</v>
      </c>
      <c r="D627" t="s">
        <v>207</v>
      </c>
      <c r="E627" s="2">
        <v>45825</v>
      </c>
      <c r="F627" s="2" cm="1">
        <f t="array" ref="F627">_xlfn.IFS(B627="Owner Surrender",E627,B627="Stray",E627+6,B627="Stray w/identification",E627+11,B627="Bite",E627+10,B627="Other",E627+30,B627="BAS",E627+56,B627="Seized",E627)</f>
        <v>45825</v>
      </c>
      <c r="G627" s="2">
        <v>45828</v>
      </c>
      <c r="H627" s="5">
        <f t="shared" si="29"/>
        <v>3</v>
      </c>
      <c r="I627" s="5">
        <f t="shared" ref="I627:I658" si="32">G627-F627</f>
        <v>3</v>
      </c>
      <c r="J627" s="2" t="s">
        <v>31</v>
      </c>
      <c r="K627" s="2" t="s">
        <v>587</v>
      </c>
      <c r="AD627" s="33" t="str">
        <f t="shared" si="30"/>
        <v>Friday</v>
      </c>
    </row>
    <row r="628" spans="1:30" x14ac:dyDescent="0.2">
      <c r="A628" s="23">
        <v>40923</v>
      </c>
      <c r="B628" s="2" t="s">
        <v>36</v>
      </c>
      <c r="C628" t="s">
        <v>562</v>
      </c>
      <c r="D628" t="s">
        <v>208</v>
      </c>
      <c r="E628" s="2">
        <v>45825</v>
      </c>
      <c r="F628" s="2" cm="1">
        <f t="array" ref="F628">_xlfn.IFS(B628="Owner Surrender",E628,B628="Stray",E628+6,B628="Stray w/identification",E628+11,B628="Bite",E628+10,B628="Other",E628+30,B628="BAS",E628+56,B628="Seized",E628)</f>
        <v>45825</v>
      </c>
      <c r="G628" s="2">
        <v>45825</v>
      </c>
      <c r="H628" s="5">
        <f t="shared" si="29"/>
        <v>0</v>
      </c>
      <c r="I628" s="5">
        <f t="shared" si="32"/>
        <v>0</v>
      </c>
      <c r="J628" s="2" t="s">
        <v>31</v>
      </c>
      <c r="K628" s="2" t="s">
        <v>588</v>
      </c>
      <c r="M628" t="s">
        <v>66</v>
      </c>
      <c r="AD628" s="33" t="str">
        <f t="shared" si="30"/>
        <v>Tuesday</v>
      </c>
    </row>
    <row r="629" spans="1:30" x14ac:dyDescent="0.2">
      <c r="A629" s="23">
        <v>40924</v>
      </c>
      <c r="B629" s="2" t="s">
        <v>36</v>
      </c>
      <c r="C629" t="s">
        <v>235</v>
      </c>
      <c r="D629" t="s">
        <v>207</v>
      </c>
      <c r="E629" s="2">
        <v>45825</v>
      </c>
      <c r="F629" s="2" cm="1">
        <f t="array" ref="F629">_xlfn.IFS(B629="Owner Surrender",E629,B629="Stray",E629+6,B629="Stray w/identification",E629+11,B629="Bite",E629+10,B629="Other",E629+30,B629="BAS",E629+56,B629="Seized",E629)</f>
        <v>45825</v>
      </c>
      <c r="G629" s="2">
        <v>45828</v>
      </c>
      <c r="H629" s="5">
        <f t="shared" si="29"/>
        <v>3</v>
      </c>
      <c r="I629" s="5">
        <f t="shared" si="32"/>
        <v>3</v>
      </c>
      <c r="J629" s="2" t="s">
        <v>31</v>
      </c>
      <c r="K629" s="2" t="s">
        <v>587</v>
      </c>
      <c r="L629" t="s">
        <v>561</v>
      </c>
      <c r="AD629" s="33" t="str">
        <f t="shared" si="30"/>
        <v>Friday</v>
      </c>
    </row>
    <row r="630" spans="1:30" x14ac:dyDescent="0.2">
      <c r="A630" s="23">
        <v>40925</v>
      </c>
      <c r="B630" s="2" t="s">
        <v>36</v>
      </c>
      <c r="C630" t="s">
        <v>235</v>
      </c>
      <c r="D630" t="s">
        <v>207</v>
      </c>
      <c r="E630" s="2">
        <v>45825</v>
      </c>
      <c r="F630" s="2" cm="1">
        <f t="array" ref="F630">_xlfn.IFS(B630="Owner Surrender",E630,B630="Stray",E630+6,B630="Stray w/identification",E630+11,B630="Bite",E630+10,B630="Other",E630+30,B630="BAS",E630+56,B630="Seized",E630)</f>
        <v>45825</v>
      </c>
      <c r="G630" s="2">
        <v>45828</v>
      </c>
      <c r="H630" s="5">
        <f t="shared" si="29"/>
        <v>3</v>
      </c>
      <c r="I630" s="5">
        <f t="shared" si="32"/>
        <v>3</v>
      </c>
      <c r="J630" s="2" t="s">
        <v>31</v>
      </c>
      <c r="K630" s="2" t="s">
        <v>587</v>
      </c>
      <c r="L630" t="s">
        <v>261</v>
      </c>
      <c r="AD630" s="33" t="str">
        <f t="shared" si="30"/>
        <v>Friday</v>
      </c>
    </row>
    <row r="631" spans="1:30" x14ac:dyDescent="0.2">
      <c r="A631" s="23">
        <v>40926</v>
      </c>
      <c r="B631" s="2" t="s">
        <v>36</v>
      </c>
      <c r="C631" t="s">
        <v>148</v>
      </c>
      <c r="D631" t="s">
        <v>210</v>
      </c>
      <c r="E631" s="2">
        <v>45825</v>
      </c>
      <c r="F631" s="2" cm="1">
        <f t="array" ref="F631">_xlfn.IFS(B631="Owner Surrender",E631,B631="Stray",E631+6,B631="Stray w/identification",E631+11,B631="Bite",E631+10,B631="Other",E631+30,B631="BAS",E631+56,B631="Seized",E631)</f>
        <v>45825</v>
      </c>
      <c r="G631" s="2">
        <v>45825</v>
      </c>
      <c r="H631" s="5">
        <f t="shared" si="29"/>
        <v>0</v>
      </c>
      <c r="I631" s="5">
        <f t="shared" si="32"/>
        <v>0</v>
      </c>
      <c r="J631" s="2" t="s">
        <v>31</v>
      </c>
      <c r="K631" s="2" t="s">
        <v>587</v>
      </c>
      <c r="AD631" s="33" t="str">
        <f t="shared" si="30"/>
        <v>Tuesday</v>
      </c>
    </row>
    <row r="632" spans="1:30" x14ac:dyDescent="0.2">
      <c r="A632" s="23">
        <v>40936</v>
      </c>
      <c r="B632" s="2" t="s">
        <v>36</v>
      </c>
      <c r="C632" t="s">
        <v>56</v>
      </c>
      <c r="D632" t="s">
        <v>208</v>
      </c>
      <c r="E632" s="2">
        <v>45826</v>
      </c>
      <c r="F632" s="2" cm="1">
        <f t="array" ref="F632">_xlfn.IFS(B632="Owner Surrender",E632,B632="Stray",E632+6,B632="Stray w/identification",E632+11,B632="Bite",E632+10,B632="Other",E632+30,B632="BAS",E632+56,B632="Seized",E632)</f>
        <v>45826</v>
      </c>
      <c r="G632" s="2">
        <v>45846</v>
      </c>
      <c r="H632" s="5">
        <f t="shared" si="29"/>
        <v>20</v>
      </c>
      <c r="I632" s="5">
        <f t="shared" si="32"/>
        <v>20</v>
      </c>
      <c r="J632" s="2" t="s">
        <v>11</v>
      </c>
      <c r="K632" s="2" t="s">
        <v>586</v>
      </c>
      <c r="L632" s="2" t="s">
        <v>57</v>
      </c>
      <c r="AD632" s="33" t="str">
        <f t="shared" si="30"/>
        <v>Tuesday</v>
      </c>
    </row>
    <row r="633" spans="1:30" x14ac:dyDescent="0.2">
      <c r="A633" s="23">
        <v>40937</v>
      </c>
      <c r="B633" s="2" t="s">
        <v>36</v>
      </c>
      <c r="C633" t="s">
        <v>235</v>
      </c>
      <c r="D633" t="s">
        <v>207</v>
      </c>
      <c r="E633" s="2">
        <v>45826</v>
      </c>
      <c r="F633" s="2" cm="1">
        <f t="array" ref="F633">_xlfn.IFS(B633="Owner Surrender",E633,B633="Stray",E633+6,B633="Stray w/identification",E633+11,B633="Bite",E633+10,B633="Other",E633+30,B633="BAS",E633+56,B633="Seized",E633)</f>
        <v>45826</v>
      </c>
      <c r="G633" s="2">
        <v>45828</v>
      </c>
      <c r="H633" s="5">
        <f t="shared" si="29"/>
        <v>2</v>
      </c>
      <c r="I633" s="5">
        <f t="shared" si="32"/>
        <v>2</v>
      </c>
      <c r="J633" s="2" t="s">
        <v>31</v>
      </c>
      <c r="K633" s="2" t="s">
        <v>587</v>
      </c>
      <c r="AD633" s="33" t="str">
        <f t="shared" si="30"/>
        <v>Friday</v>
      </c>
    </row>
    <row r="634" spans="1:30" x14ac:dyDescent="0.2">
      <c r="A634" s="23">
        <v>40939</v>
      </c>
      <c r="B634" s="2" t="s">
        <v>52</v>
      </c>
      <c r="C634" t="s">
        <v>51</v>
      </c>
      <c r="D634" t="s">
        <v>208</v>
      </c>
      <c r="E634" s="2">
        <v>45826</v>
      </c>
      <c r="F634" s="2" cm="1">
        <f t="array" ref="F634">_xlfn.IFS(B634="Owner Surrender",E634,B634="Stray",E634+6,B634="Stray w/identification",E634+11,B634="Bite",E634+10,B634="Other",E634+30,B634="BAS",E634+56,B634="Seized",E634)</f>
        <v>45826</v>
      </c>
      <c r="G634" s="2">
        <v>45846</v>
      </c>
      <c r="H634" s="5">
        <f t="shared" si="29"/>
        <v>20</v>
      </c>
      <c r="I634" s="5">
        <f t="shared" si="32"/>
        <v>20</v>
      </c>
      <c r="J634" s="2" t="s">
        <v>11</v>
      </c>
      <c r="K634" s="2" t="s">
        <v>586</v>
      </c>
      <c r="AD634" s="33" t="str">
        <f t="shared" si="30"/>
        <v>Tuesday</v>
      </c>
    </row>
    <row r="635" spans="1:30" x14ac:dyDescent="0.2">
      <c r="A635" s="23">
        <v>40940</v>
      </c>
      <c r="B635" s="2" t="s">
        <v>52</v>
      </c>
      <c r="C635" t="s">
        <v>51</v>
      </c>
      <c r="D635" t="s">
        <v>208</v>
      </c>
      <c r="E635" s="2">
        <v>45826</v>
      </c>
      <c r="F635" s="2" cm="1">
        <f t="array" ref="F635">_xlfn.IFS(B635="Owner Surrender",E635,B635="Stray",E635+6,B635="Stray w/identification",E635+11,B635="Bite",E635+10,B635="Other",E635+30,B635="BAS",E635+56,B635="Seized",E635)</f>
        <v>45826</v>
      </c>
      <c r="G635" s="2">
        <v>45847</v>
      </c>
      <c r="H635" s="5">
        <f t="shared" si="29"/>
        <v>21</v>
      </c>
      <c r="I635" s="5">
        <f t="shared" si="32"/>
        <v>21</v>
      </c>
      <c r="J635" s="2" t="s">
        <v>11</v>
      </c>
      <c r="K635" s="2" t="s">
        <v>586</v>
      </c>
      <c r="AD635" s="33" t="str">
        <f t="shared" si="30"/>
        <v>Wednesday</v>
      </c>
    </row>
    <row r="636" spans="1:30" x14ac:dyDescent="0.2">
      <c r="A636" s="23">
        <v>40941</v>
      </c>
      <c r="B636" s="2" t="s">
        <v>52</v>
      </c>
      <c r="C636" t="s">
        <v>51</v>
      </c>
      <c r="D636" t="s">
        <v>208</v>
      </c>
      <c r="E636" s="2">
        <v>45826</v>
      </c>
      <c r="F636" s="2" cm="1">
        <f t="array" ref="F636">_xlfn.IFS(B636="Owner Surrender",E636,B636="Stray",E636+6,B636="Stray w/identification",E636+11,B636="Bite",E636+10,B636="Other",E636+30,B636="BAS",E636+56,B636="Seized",E636)</f>
        <v>45826</v>
      </c>
      <c r="G636" s="2">
        <v>45856</v>
      </c>
      <c r="H636" s="5">
        <f t="shared" si="29"/>
        <v>30</v>
      </c>
      <c r="I636" s="5">
        <f t="shared" si="32"/>
        <v>30</v>
      </c>
      <c r="J636" s="2" t="s">
        <v>11</v>
      </c>
      <c r="K636" s="2" t="s">
        <v>586</v>
      </c>
      <c r="AD636" s="33" t="str">
        <f t="shared" si="30"/>
        <v>Friday</v>
      </c>
    </row>
    <row r="637" spans="1:30" x14ac:dyDescent="0.2">
      <c r="A637" s="23">
        <v>40944</v>
      </c>
      <c r="B637" s="2" t="s">
        <v>38</v>
      </c>
      <c r="C637" t="s">
        <v>48</v>
      </c>
      <c r="D637" t="s">
        <v>207</v>
      </c>
      <c r="E637" s="2">
        <v>45827</v>
      </c>
      <c r="F637" s="2" cm="1">
        <f t="array" ref="F637">_xlfn.IFS(B637="Owner Surrender",E637,B637="Stray",E637+6,B637="Stray w/identification",E637+11,B637="Bite",E637+10,B637="Other",E637+30,B637="BAS",E637+56,B637="Seized",E637)</f>
        <v>45833</v>
      </c>
      <c r="G637" s="2">
        <v>45833</v>
      </c>
      <c r="H637" s="5">
        <f t="shared" si="29"/>
        <v>6</v>
      </c>
      <c r="I637" s="5">
        <f t="shared" si="32"/>
        <v>0</v>
      </c>
      <c r="J637" s="2" t="s">
        <v>31</v>
      </c>
      <c r="K637" s="2" t="s">
        <v>588</v>
      </c>
      <c r="M637" t="s">
        <v>66</v>
      </c>
      <c r="AD637" s="33" t="str">
        <f t="shared" si="30"/>
        <v>Wednesday</v>
      </c>
    </row>
    <row r="638" spans="1:30" x14ac:dyDescent="0.2">
      <c r="A638" s="23">
        <v>40951</v>
      </c>
      <c r="B638" s="2" t="s">
        <v>38</v>
      </c>
      <c r="C638" t="s">
        <v>49</v>
      </c>
      <c r="D638" t="s">
        <v>208</v>
      </c>
      <c r="E638" s="2">
        <v>45827</v>
      </c>
      <c r="F638" s="2" cm="1">
        <f t="array" ref="F638">_xlfn.IFS(B638="Owner Surrender",E638,B638="Stray",E638+6,B638="Stray w/identification",E638+11,B638="Bite",E638+10,B638="Other",E638+30,B638="BAS",E638+56,B638="Seized",E638)</f>
        <v>45833</v>
      </c>
      <c r="G638" s="2">
        <v>45834</v>
      </c>
      <c r="H638" s="5">
        <f t="shared" si="29"/>
        <v>7</v>
      </c>
      <c r="I638" s="5">
        <f t="shared" si="32"/>
        <v>1</v>
      </c>
      <c r="J638" s="2" t="s">
        <v>31</v>
      </c>
      <c r="K638" s="2" t="s">
        <v>587</v>
      </c>
      <c r="AD638" s="33" t="str">
        <f t="shared" si="30"/>
        <v>Thursday</v>
      </c>
    </row>
    <row r="639" spans="1:30" x14ac:dyDescent="0.2">
      <c r="A639" s="23">
        <v>40952</v>
      </c>
      <c r="B639" s="2" t="s">
        <v>38</v>
      </c>
      <c r="C639" t="s">
        <v>49</v>
      </c>
      <c r="D639" t="s">
        <v>208</v>
      </c>
      <c r="E639" s="2">
        <v>45827</v>
      </c>
      <c r="F639" s="2" cm="1">
        <f t="array" ref="F639">_xlfn.IFS(B639="Owner Surrender",E639,B639="Stray",E639+6,B639="Stray w/identification",E639+11,B639="Bite",E639+10,B639="Other",E639+30,B639="BAS",E639+56,B639="Seized",E639)</f>
        <v>45833</v>
      </c>
      <c r="G639" s="2">
        <v>45834</v>
      </c>
      <c r="H639" s="5">
        <f t="shared" si="29"/>
        <v>7</v>
      </c>
      <c r="I639" s="5">
        <f t="shared" si="32"/>
        <v>1</v>
      </c>
      <c r="J639" s="2" t="s">
        <v>31</v>
      </c>
      <c r="K639" s="2" t="s">
        <v>587</v>
      </c>
      <c r="AD639" s="33" t="str">
        <f t="shared" si="30"/>
        <v>Thursday</v>
      </c>
    </row>
    <row r="640" spans="1:30" x14ac:dyDescent="0.2">
      <c r="A640" s="23">
        <v>40953</v>
      </c>
      <c r="B640" s="2" t="s">
        <v>38</v>
      </c>
      <c r="C640" t="s">
        <v>49</v>
      </c>
      <c r="D640" t="s">
        <v>208</v>
      </c>
      <c r="E640" s="2">
        <v>45827</v>
      </c>
      <c r="F640" s="2" cm="1">
        <f t="array" ref="F640">_xlfn.IFS(B640="Owner Surrender",E640,B640="Stray",E640+6,B640="Stray w/identification",E640+11,B640="Bite",E640+10,B640="Other",E640+30,B640="BAS",E640+56,B640="Seized",E640)</f>
        <v>45833</v>
      </c>
      <c r="G640" s="2">
        <v>45834</v>
      </c>
      <c r="H640" s="5">
        <f t="shared" si="29"/>
        <v>7</v>
      </c>
      <c r="I640" s="5">
        <f t="shared" si="32"/>
        <v>1</v>
      </c>
      <c r="J640" s="2" t="s">
        <v>31</v>
      </c>
      <c r="K640" s="2" t="s">
        <v>587</v>
      </c>
      <c r="AD640" s="33" t="str">
        <f t="shared" si="30"/>
        <v>Thursday</v>
      </c>
    </row>
    <row r="641" spans="1:30" x14ac:dyDescent="0.2">
      <c r="A641" s="23">
        <v>40954</v>
      </c>
      <c r="B641" s="2" t="s">
        <v>38</v>
      </c>
      <c r="C641" t="s">
        <v>49</v>
      </c>
      <c r="D641" t="s">
        <v>208</v>
      </c>
      <c r="E641" s="2">
        <v>45827</v>
      </c>
      <c r="F641" s="2" cm="1">
        <f t="array" ref="F641">_xlfn.IFS(B641="Owner Surrender",E641,B641="Stray",E641+6,B641="Stray w/identification",E641+11,B641="Bite",E641+10,B641="Other",E641+30,B641="BAS",E641+56,B641="Seized",E641)</f>
        <v>45833</v>
      </c>
      <c r="G641" s="2">
        <v>45834</v>
      </c>
      <c r="H641" s="5">
        <f t="shared" si="29"/>
        <v>7</v>
      </c>
      <c r="I641" s="5">
        <f t="shared" si="32"/>
        <v>1</v>
      </c>
      <c r="J641" s="2" t="s">
        <v>31</v>
      </c>
      <c r="K641" s="2" t="s">
        <v>587</v>
      </c>
      <c r="AD641" s="33" t="str">
        <f t="shared" si="30"/>
        <v>Thursday</v>
      </c>
    </row>
    <row r="642" spans="1:30" x14ac:dyDescent="0.2">
      <c r="A642" s="23">
        <v>40955</v>
      </c>
      <c r="B642" s="2" t="s">
        <v>38</v>
      </c>
      <c r="C642" t="s">
        <v>55</v>
      </c>
      <c r="D642" t="s">
        <v>207</v>
      </c>
      <c r="E642" s="2">
        <v>45827</v>
      </c>
      <c r="F642" s="2" cm="1">
        <f t="array" ref="F642">_xlfn.IFS(B642="Owner Surrender",E642,B642="Stray",E642+6,B642="Stray w/identification",E642+11,B642="Bite",E642+10,B642="Other",E642+30,B642="BAS",E642+56,B642="Seized",E642)</f>
        <v>45833</v>
      </c>
      <c r="G642" s="2">
        <v>45828</v>
      </c>
      <c r="H642" s="5">
        <f t="shared" si="29"/>
        <v>1</v>
      </c>
      <c r="I642" s="5">
        <f t="shared" si="32"/>
        <v>-5</v>
      </c>
      <c r="J642" s="2" t="s">
        <v>8</v>
      </c>
      <c r="K642" s="2" t="s">
        <v>586</v>
      </c>
      <c r="AD642" s="33" t="str">
        <f t="shared" si="30"/>
        <v>Friday</v>
      </c>
    </row>
    <row r="643" spans="1:30" x14ac:dyDescent="0.2">
      <c r="A643" s="23">
        <v>40956</v>
      </c>
      <c r="B643" s="2" t="s">
        <v>38</v>
      </c>
      <c r="C643" t="s">
        <v>78</v>
      </c>
      <c r="D643" t="s">
        <v>207</v>
      </c>
      <c r="E643" s="2">
        <v>45827</v>
      </c>
      <c r="F643" s="2" cm="1">
        <f t="array" ref="F643">_xlfn.IFS(B643="Owner Surrender",E643,B643="Stray",E643+6,B643="Stray w/identification",E643+11,B643="Bite",E643+10,B643="Other",E643+30,B643="BAS",E643+56,B643="Seized",E643)</f>
        <v>45833</v>
      </c>
      <c r="G643" s="2">
        <v>45828</v>
      </c>
      <c r="H643" s="5">
        <f t="shared" ref="H643:H688" si="33">+G643-E643</f>
        <v>1</v>
      </c>
      <c r="I643" s="5">
        <f t="shared" si="32"/>
        <v>-5</v>
      </c>
      <c r="J643" s="2" t="s">
        <v>8</v>
      </c>
      <c r="K643" s="2" t="s">
        <v>586</v>
      </c>
      <c r="AD643" s="33" t="str">
        <f t="shared" si="30"/>
        <v>Friday</v>
      </c>
    </row>
    <row r="644" spans="1:30" x14ac:dyDescent="0.2">
      <c r="A644" s="23">
        <v>40963</v>
      </c>
      <c r="B644" s="2" t="s">
        <v>38</v>
      </c>
      <c r="C644" t="s">
        <v>48</v>
      </c>
      <c r="D644" t="s">
        <v>207</v>
      </c>
      <c r="E644" s="2">
        <v>45828</v>
      </c>
      <c r="F644" s="2" cm="1">
        <f t="array" ref="F644">_xlfn.IFS(B644="Owner Surrender",E644,B644="Stray",E644+6,B644="Stray w/identification",E644+11,B644="Bite",E644+10,B644="Other",E644+30,B644="BAS",E644+56,B644="Seized",E644)</f>
        <v>45834</v>
      </c>
      <c r="G644" s="2">
        <v>45861</v>
      </c>
      <c r="H644" s="5">
        <f t="shared" si="33"/>
        <v>33</v>
      </c>
      <c r="I644" s="5">
        <f t="shared" si="32"/>
        <v>27</v>
      </c>
      <c r="J644" s="2" t="s">
        <v>31</v>
      </c>
      <c r="K644" s="2" t="s">
        <v>587</v>
      </c>
      <c r="AD644" s="33" t="str">
        <f t="shared" ref="AD644:AD707" si="34">TEXT(G644,"DDDD")</f>
        <v>Wednesday</v>
      </c>
    </row>
    <row r="645" spans="1:30" x14ac:dyDescent="0.2">
      <c r="A645" s="23">
        <v>40966</v>
      </c>
      <c r="B645" s="2" t="s">
        <v>179</v>
      </c>
      <c r="C645" t="s">
        <v>581</v>
      </c>
      <c r="D645" t="s">
        <v>207</v>
      </c>
      <c r="E645" s="2">
        <v>45829</v>
      </c>
      <c r="F645" s="2" cm="1">
        <f t="array" ref="F645">_xlfn.IFS(B645="Owner Surrender",E645,B645="Stray",E645+6,B645="Stray w/identification",E645+11,B645="Bite",E645+10,B645="Other",E645+30,B645="BAS",E645+56,B645="Seized",E645)</f>
        <v>45840</v>
      </c>
      <c r="G645" s="2">
        <v>45833</v>
      </c>
      <c r="H645" s="5">
        <f t="shared" si="33"/>
        <v>4</v>
      </c>
      <c r="I645" s="5">
        <f t="shared" si="32"/>
        <v>-7</v>
      </c>
      <c r="J645" s="2" t="s">
        <v>8</v>
      </c>
      <c r="K645" s="2" t="s">
        <v>586</v>
      </c>
      <c r="AD645" s="33" t="str">
        <f t="shared" si="34"/>
        <v>Wednesday</v>
      </c>
    </row>
    <row r="646" spans="1:30" x14ac:dyDescent="0.2">
      <c r="A646" s="23">
        <v>40967</v>
      </c>
      <c r="B646" s="2" t="s">
        <v>36</v>
      </c>
      <c r="C646" t="s">
        <v>75</v>
      </c>
      <c r="D646" t="s">
        <v>208</v>
      </c>
      <c r="E646" s="2">
        <v>45829</v>
      </c>
      <c r="F646" s="2" cm="1">
        <f t="array" ref="F646">_xlfn.IFS(B646="Owner Surrender",E646,B646="Stray",E646+6,B646="Stray w/identification",E646+11,B646="Bite",E646+10,B646="Other",E646+30,B646="BAS",E646+56,B646="Seized",E646)</f>
        <v>45829</v>
      </c>
      <c r="G646" s="2">
        <v>45835</v>
      </c>
      <c r="H646" s="5">
        <f t="shared" si="33"/>
        <v>6</v>
      </c>
      <c r="I646" s="5">
        <f t="shared" si="32"/>
        <v>6</v>
      </c>
      <c r="J646" s="2" t="s">
        <v>31</v>
      </c>
      <c r="K646" s="2" t="s">
        <v>587</v>
      </c>
      <c r="L646" t="s">
        <v>580</v>
      </c>
      <c r="AD646" s="33" t="str">
        <f t="shared" si="34"/>
        <v>Friday</v>
      </c>
    </row>
    <row r="647" spans="1:30" x14ac:dyDescent="0.2">
      <c r="A647" s="23">
        <v>40971</v>
      </c>
      <c r="B647" s="2" t="s">
        <v>36</v>
      </c>
      <c r="C647" t="s">
        <v>107</v>
      </c>
      <c r="D647" t="s">
        <v>207</v>
      </c>
      <c r="E647" s="2">
        <v>45830</v>
      </c>
      <c r="F647" s="2" cm="1">
        <f t="array" ref="F647">_xlfn.IFS(B647="Owner Surrender",E647,B647="Stray",E647+6,B647="Stray w/identification",E647+11,B647="Bite",E647+10,B647="Other",E647+30,B647="BAS",E647+56,B647="Seized",E647)</f>
        <v>45830</v>
      </c>
      <c r="G647" s="2">
        <v>45830</v>
      </c>
      <c r="H647" s="5">
        <f t="shared" si="33"/>
        <v>0</v>
      </c>
      <c r="I647" s="5">
        <f t="shared" si="32"/>
        <v>0</v>
      </c>
      <c r="J647" s="2" t="s">
        <v>31</v>
      </c>
      <c r="K647" s="2" t="s">
        <v>588</v>
      </c>
      <c r="L647" t="s">
        <v>526</v>
      </c>
      <c r="M647" t="s">
        <v>123</v>
      </c>
      <c r="AD647" s="33" t="str">
        <f t="shared" si="34"/>
        <v>Sunday</v>
      </c>
    </row>
    <row r="648" spans="1:30" x14ac:dyDescent="0.2">
      <c r="A648" s="23">
        <v>40972</v>
      </c>
      <c r="B648" s="2" t="s">
        <v>38</v>
      </c>
      <c r="C648" t="s">
        <v>48</v>
      </c>
      <c r="D648" t="s">
        <v>207</v>
      </c>
      <c r="E648" s="2">
        <v>45830</v>
      </c>
      <c r="F648" s="2" cm="1">
        <f t="array" ref="F648">_xlfn.IFS(B648="Owner Surrender",E648,B648="Stray",E648+6,B648="Stray w/identification",E648+11,B648="Bite",E648+10,B648="Other",E648+30,B648="BAS",E648+56,B648="Seized",E648)</f>
        <v>45836</v>
      </c>
      <c r="G648" s="2">
        <v>45831</v>
      </c>
      <c r="H648" s="5">
        <f t="shared" si="33"/>
        <v>1</v>
      </c>
      <c r="I648" s="5">
        <f t="shared" si="32"/>
        <v>-5</v>
      </c>
      <c r="J648" s="2" t="s">
        <v>31</v>
      </c>
      <c r="K648" s="2" t="s">
        <v>588</v>
      </c>
      <c r="M648" t="s">
        <v>66</v>
      </c>
      <c r="AD648" s="33" t="str">
        <f t="shared" si="34"/>
        <v>Monday</v>
      </c>
    </row>
    <row r="649" spans="1:30" x14ac:dyDescent="0.2">
      <c r="A649" s="23">
        <v>40974</v>
      </c>
      <c r="B649" s="2" t="s">
        <v>179</v>
      </c>
      <c r="C649" t="s">
        <v>422</v>
      </c>
      <c r="D649" t="s">
        <v>207</v>
      </c>
      <c r="E649" s="2">
        <v>45831</v>
      </c>
      <c r="F649" s="2" cm="1">
        <f t="array" ref="F649">_xlfn.IFS(B649="Owner Surrender",E649,B649="Stray",E649+6,B649="Stray w/identification",E649+11,B649="Bite",E649+10,B649="Other",E649+30,B649="BAS",E649+56,B649="Seized",E649)</f>
        <v>45842</v>
      </c>
      <c r="G649" s="2">
        <v>45831</v>
      </c>
      <c r="H649" s="5">
        <f t="shared" si="33"/>
        <v>0</v>
      </c>
      <c r="I649" s="5">
        <f t="shared" si="32"/>
        <v>-11</v>
      </c>
      <c r="J649" s="2" t="s">
        <v>8</v>
      </c>
      <c r="K649" s="2" t="s">
        <v>586</v>
      </c>
      <c r="AD649" s="33" t="str">
        <f t="shared" si="34"/>
        <v>Monday</v>
      </c>
    </row>
    <row r="650" spans="1:30" x14ac:dyDescent="0.2">
      <c r="A650" s="23">
        <v>40978</v>
      </c>
      <c r="B650" s="2" t="s">
        <v>36</v>
      </c>
      <c r="C650" t="s">
        <v>48</v>
      </c>
      <c r="D650" t="s">
        <v>209</v>
      </c>
      <c r="E650" s="2">
        <v>45830</v>
      </c>
      <c r="F650" s="2" cm="1">
        <f t="array" ref="F650">_xlfn.IFS(B650="Owner Surrender",E650,B650="Stray",E650+6,B650="Stray w/identification",E650+11,B650="Bite",E650+10,B650="Other",E650+30,B650="BAS",E650+56,B650="Seized",E650)</f>
        <v>45830</v>
      </c>
      <c r="G650" s="2">
        <v>45831</v>
      </c>
      <c r="H650" s="5">
        <f t="shared" si="33"/>
        <v>1</v>
      </c>
      <c r="I650" s="5">
        <f t="shared" si="32"/>
        <v>1</v>
      </c>
      <c r="J650" s="2" t="s">
        <v>31</v>
      </c>
      <c r="K650" s="2" t="s">
        <v>589</v>
      </c>
      <c r="M650" t="s">
        <v>579</v>
      </c>
      <c r="AD650" s="33" t="str">
        <f t="shared" si="34"/>
        <v>Monday</v>
      </c>
    </row>
    <row r="651" spans="1:30" x14ac:dyDescent="0.2">
      <c r="A651" s="23">
        <v>40982</v>
      </c>
      <c r="B651" s="2" t="s">
        <v>38</v>
      </c>
      <c r="C651" t="s">
        <v>71</v>
      </c>
      <c r="D651" t="s">
        <v>207</v>
      </c>
      <c r="E651" s="2">
        <v>45830</v>
      </c>
      <c r="F651" s="2" cm="1">
        <f t="array" ref="F651">_xlfn.IFS(B651="Owner Surrender",E651,B651="Stray",E651+6,B651="Stray w/identification",E651+11,B651="Bite",E651+10,B651="Other",E651+30,B651="BAS",E651+56,B651="Seized",E651)</f>
        <v>45836</v>
      </c>
      <c r="G651" s="2">
        <v>45841</v>
      </c>
      <c r="H651" s="5">
        <f t="shared" si="33"/>
        <v>11</v>
      </c>
      <c r="I651" s="5">
        <f t="shared" si="32"/>
        <v>5</v>
      </c>
      <c r="J651" s="2" t="s">
        <v>31</v>
      </c>
      <c r="K651" s="2" t="s">
        <v>587</v>
      </c>
      <c r="AD651" s="33" t="str">
        <f t="shared" si="34"/>
        <v>Thursday</v>
      </c>
    </row>
    <row r="652" spans="1:30" x14ac:dyDescent="0.2">
      <c r="A652" s="23">
        <v>40987</v>
      </c>
      <c r="B652" s="2" t="s">
        <v>36</v>
      </c>
      <c r="C652" t="s">
        <v>139</v>
      </c>
      <c r="D652" t="s">
        <v>207</v>
      </c>
      <c r="E652" s="2">
        <v>45831</v>
      </c>
      <c r="F652" s="2" cm="1">
        <f t="array" ref="F652">_xlfn.IFS(B652="Owner Surrender",E652,B652="Stray",E652+6,B652="Stray w/identification",E652+11,B652="Bite",E652+10,B652="Other",E652+30,B652="BAS",E652+56,B652="Seized",E652)</f>
        <v>45831</v>
      </c>
      <c r="G652" s="2">
        <v>45834</v>
      </c>
      <c r="H652" s="5">
        <f t="shared" si="33"/>
        <v>3</v>
      </c>
      <c r="I652" s="5">
        <f t="shared" si="32"/>
        <v>3</v>
      </c>
      <c r="J652" s="2" t="s">
        <v>31</v>
      </c>
      <c r="K652" s="2" t="s">
        <v>587</v>
      </c>
      <c r="L652" t="s">
        <v>578</v>
      </c>
      <c r="AD652" s="33" t="str">
        <f t="shared" si="34"/>
        <v>Thursday</v>
      </c>
    </row>
    <row r="653" spans="1:30" x14ac:dyDescent="0.2">
      <c r="A653" s="23">
        <v>40989</v>
      </c>
      <c r="B653" s="2" t="s">
        <v>179</v>
      </c>
      <c r="C653" t="s">
        <v>49</v>
      </c>
      <c r="D653" t="s">
        <v>208</v>
      </c>
      <c r="E653" s="2">
        <v>45832</v>
      </c>
      <c r="F653" s="2" cm="1">
        <f t="array" ref="F653">_xlfn.IFS(B653="Owner Surrender",E653,B653="Stray",E653+6,B653="Stray w/identification",E653+11,B653="Bite",E653+10,B653="Other",E653+30,B653="BAS",E653+56,B653="Seized",E653)</f>
        <v>45843</v>
      </c>
      <c r="G653" s="2">
        <v>45832</v>
      </c>
      <c r="H653" s="5">
        <f t="shared" si="33"/>
        <v>0</v>
      </c>
      <c r="I653" s="5">
        <f t="shared" si="32"/>
        <v>-11</v>
      </c>
      <c r="J653" s="2" t="s">
        <v>8</v>
      </c>
      <c r="K653" s="2" t="s">
        <v>586</v>
      </c>
      <c r="AD653" s="33" t="str">
        <f t="shared" si="34"/>
        <v>Tuesday</v>
      </c>
    </row>
    <row r="654" spans="1:30" x14ac:dyDescent="0.2">
      <c r="A654" s="23">
        <v>40990</v>
      </c>
      <c r="B654" s="2" t="s">
        <v>179</v>
      </c>
      <c r="C654" t="s">
        <v>48</v>
      </c>
      <c r="D654" t="s">
        <v>207</v>
      </c>
      <c r="E654" s="2">
        <v>45832</v>
      </c>
      <c r="F654" s="2" cm="1">
        <f t="array" ref="F654">_xlfn.IFS(B654="Owner Surrender",E654,B654="Stray",E654+6,B654="Stray w/identification",E654+11,B654="Bite",E654+10,B654="Other",E654+30,B654="BAS",E654+56,B654="Seized",E654)</f>
        <v>45843</v>
      </c>
      <c r="G654" s="2">
        <v>45832</v>
      </c>
      <c r="H654" s="5">
        <f t="shared" si="33"/>
        <v>0</v>
      </c>
      <c r="I654" s="5">
        <f t="shared" si="32"/>
        <v>-11</v>
      </c>
      <c r="J654" s="2" t="s">
        <v>8</v>
      </c>
      <c r="K654" s="2" t="s">
        <v>586</v>
      </c>
      <c r="AD654" s="33" t="str">
        <f t="shared" si="34"/>
        <v>Tuesday</v>
      </c>
    </row>
    <row r="655" spans="1:30" x14ac:dyDescent="0.2">
      <c r="A655" s="23">
        <v>40992</v>
      </c>
      <c r="B655" s="2" t="s">
        <v>38</v>
      </c>
      <c r="C655" t="s">
        <v>75</v>
      </c>
      <c r="D655" t="s">
        <v>207</v>
      </c>
      <c r="E655" s="2">
        <v>45833</v>
      </c>
      <c r="F655" s="2" cm="1">
        <f t="array" ref="F655">_xlfn.IFS(B655="Owner Surrender",E655,B655="Stray",E655+6,B655="Stray w/identification",E655+11,B655="Bite",E655+10,B655="Other",E655+30,B655="BAS",E655+56,B655="Seized",E655)</f>
        <v>45839</v>
      </c>
      <c r="G655" s="2">
        <v>45841</v>
      </c>
      <c r="H655" s="5">
        <f t="shared" si="33"/>
        <v>8</v>
      </c>
      <c r="I655" s="5">
        <f t="shared" si="32"/>
        <v>2</v>
      </c>
      <c r="J655" s="2" t="s">
        <v>8</v>
      </c>
      <c r="K655" s="2" t="s">
        <v>586</v>
      </c>
      <c r="AD655" s="33" t="str">
        <f t="shared" si="34"/>
        <v>Thursday</v>
      </c>
    </row>
    <row r="656" spans="1:30" x14ac:dyDescent="0.2">
      <c r="A656" s="23">
        <v>40993</v>
      </c>
      <c r="B656" s="2" t="s">
        <v>179</v>
      </c>
      <c r="C656" t="s">
        <v>48</v>
      </c>
      <c r="D656" t="s">
        <v>209</v>
      </c>
      <c r="E656" s="2">
        <v>45833</v>
      </c>
      <c r="F656" s="2" cm="1">
        <f t="array" ref="F656">_xlfn.IFS(B656="Owner Surrender",E656,B656="Stray",E656+6,B656="Stray w/identification",E656+11,B656="Bite",E656+10,B656="Other",E656+30,B656="BAS",E656+56,B656="Seized",E656)</f>
        <v>45844</v>
      </c>
      <c r="G656" s="2">
        <v>45834</v>
      </c>
      <c r="H656" s="5">
        <f t="shared" si="33"/>
        <v>1</v>
      </c>
      <c r="I656" s="5">
        <f t="shared" si="32"/>
        <v>-10</v>
      </c>
      <c r="J656" s="2" t="s">
        <v>31</v>
      </c>
      <c r="K656" s="2" t="s">
        <v>588</v>
      </c>
      <c r="M656" t="s">
        <v>66</v>
      </c>
      <c r="AD656" s="33" t="str">
        <f t="shared" si="34"/>
        <v>Thursday</v>
      </c>
    </row>
    <row r="657" spans="1:30" x14ac:dyDescent="0.2">
      <c r="A657" s="23">
        <v>40994</v>
      </c>
      <c r="B657" s="2" t="s">
        <v>179</v>
      </c>
      <c r="C657" t="s">
        <v>68</v>
      </c>
      <c r="D657" t="s">
        <v>207</v>
      </c>
      <c r="E657" s="2">
        <v>45833</v>
      </c>
      <c r="F657" s="2" cm="1">
        <f t="array" ref="F657">_xlfn.IFS(B657="Owner Surrender",E657,B657="Stray",E657+6,B657="Stray w/identification",E657+11,B657="Bite",E657+10,B657="Other",E657+30,B657="BAS",E657+56,B657="Seized",E657)</f>
        <v>45844</v>
      </c>
      <c r="G657" s="2">
        <v>45846</v>
      </c>
      <c r="H657" s="5">
        <f t="shared" si="33"/>
        <v>13</v>
      </c>
      <c r="I657" s="5">
        <f t="shared" si="32"/>
        <v>2</v>
      </c>
      <c r="J657" s="2" t="s">
        <v>31</v>
      </c>
      <c r="K657" s="2" t="s">
        <v>587</v>
      </c>
      <c r="M657" t="s">
        <v>189</v>
      </c>
      <c r="AD657" s="33" t="str">
        <f t="shared" si="34"/>
        <v>Tuesday</v>
      </c>
    </row>
    <row r="658" spans="1:30" x14ac:dyDescent="0.2">
      <c r="A658" s="23">
        <v>40997</v>
      </c>
      <c r="B658" s="2" t="s">
        <v>36</v>
      </c>
      <c r="C658" t="s">
        <v>62</v>
      </c>
      <c r="D658" t="s">
        <v>208</v>
      </c>
      <c r="E658" s="2">
        <v>45833</v>
      </c>
      <c r="F658" s="2" cm="1">
        <f t="array" ref="F658">_xlfn.IFS(B658="Owner Surrender",E658,B658="Stray",E658+6,B658="Stray w/identification",E658+11,B658="Bite",E658+10,B658="Other",E658+30,B658="BAS",E658+56,B658="Seized",E658)</f>
        <v>45833</v>
      </c>
      <c r="G658" s="2">
        <v>45839</v>
      </c>
      <c r="H658" s="5">
        <f t="shared" si="33"/>
        <v>6</v>
      </c>
      <c r="I658" s="5">
        <f t="shared" si="32"/>
        <v>6</v>
      </c>
      <c r="J658" s="2" t="s">
        <v>31</v>
      </c>
      <c r="K658" s="2" t="s">
        <v>588</v>
      </c>
      <c r="M658" t="s">
        <v>66</v>
      </c>
      <c r="AD658" s="33" t="str">
        <f t="shared" si="34"/>
        <v>Tuesday</v>
      </c>
    </row>
    <row r="659" spans="1:30" x14ac:dyDescent="0.2">
      <c r="A659" s="23">
        <v>40998</v>
      </c>
      <c r="B659" s="2" t="s">
        <v>36</v>
      </c>
      <c r="C659" t="s">
        <v>62</v>
      </c>
      <c r="D659" t="s">
        <v>208</v>
      </c>
      <c r="E659" s="2">
        <v>45833</v>
      </c>
      <c r="F659" s="2" cm="1">
        <f t="array" ref="F659">_xlfn.IFS(B659="Owner Surrender",E659,B659="Stray",E659+6,B659="Stray w/identification",E659+11,B659="Bite",E659+10,B659="Other",E659+30,B659="BAS",E659+56,B659="Seized",E659)</f>
        <v>45833</v>
      </c>
      <c r="G659" s="2">
        <v>45839</v>
      </c>
      <c r="H659" s="5">
        <f t="shared" si="33"/>
        <v>6</v>
      </c>
      <c r="I659" s="5">
        <f t="shared" ref="I659:I673" si="35">G659-F659</f>
        <v>6</v>
      </c>
      <c r="J659" s="2" t="s">
        <v>31</v>
      </c>
      <c r="K659" s="2" t="s">
        <v>588</v>
      </c>
      <c r="M659" t="s">
        <v>66</v>
      </c>
      <c r="AD659" s="33" t="str">
        <f t="shared" si="34"/>
        <v>Tuesday</v>
      </c>
    </row>
    <row r="660" spans="1:30" x14ac:dyDescent="0.2">
      <c r="A660" s="23">
        <v>40999</v>
      </c>
      <c r="B660" s="2" t="s">
        <v>36</v>
      </c>
      <c r="C660" t="s">
        <v>62</v>
      </c>
      <c r="D660" t="s">
        <v>208</v>
      </c>
      <c r="E660" s="2">
        <v>45833</v>
      </c>
      <c r="F660" s="2" cm="1">
        <f t="array" ref="F660">_xlfn.IFS(B660="Owner Surrender",E660,B660="Stray",E660+6,B660="Stray w/identification",E660+11,B660="Bite",E660+10,B660="Other",E660+30,B660="BAS",E660+56,B660="Seized",E660)</f>
        <v>45833</v>
      </c>
      <c r="G660" s="2">
        <v>45839</v>
      </c>
      <c r="H660" s="5">
        <f t="shared" si="33"/>
        <v>6</v>
      </c>
      <c r="I660" s="5">
        <f t="shared" si="35"/>
        <v>6</v>
      </c>
      <c r="J660" s="2" t="s">
        <v>31</v>
      </c>
      <c r="K660" s="2" t="s">
        <v>587</v>
      </c>
      <c r="AD660" s="33" t="str">
        <f t="shared" si="34"/>
        <v>Tuesday</v>
      </c>
    </row>
    <row r="661" spans="1:30" x14ac:dyDescent="0.2">
      <c r="A661" s="23">
        <v>41000</v>
      </c>
      <c r="B661" s="2" t="s">
        <v>36</v>
      </c>
      <c r="C661" t="s">
        <v>77</v>
      </c>
      <c r="D661" t="s">
        <v>208</v>
      </c>
      <c r="E661" s="2">
        <v>45833</v>
      </c>
      <c r="F661" s="2" cm="1">
        <f t="array" ref="F661">_xlfn.IFS(B661="Owner Surrender",E661,B661="Stray",E661+6,B661="Stray w/identification",E661+11,B661="Bite",E661+10,B661="Other",E661+30,B661="BAS",E661+56,B661="Seized",E661)</f>
        <v>45833</v>
      </c>
      <c r="G661" s="2">
        <v>45839</v>
      </c>
      <c r="H661" s="5">
        <f t="shared" si="33"/>
        <v>6</v>
      </c>
      <c r="I661" s="5">
        <f t="shared" si="35"/>
        <v>6</v>
      </c>
      <c r="J661" s="2" t="s">
        <v>31</v>
      </c>
      <c r="K661" s="2" t="s">
        <v>587</v>
      </c>
      <c r="AD661" s="33" t="str">
        <f t="shared" si="34"/>
        <v>Tuesday</v>
      </c>
    </row>
    <row r="662" spans="1:30" x14ac:dyDescent="0.2">
      <c r="A662" s="23">
        <v>41002</v>
      </c>
      <c r="B662" s="2" t="s">
        <v>38</v>
      </c>
      <c r="C662" t="s">
        <v>72</v>
      </c>
      <c r="D662" t="s">
        <v>209</v>
      </c>
      <c r="E662" s="2">
        <v>45833</v>
      </c>
      <c r="F662" s="2" cm="1">
        <f t="array" ref="F662">_xlfn.IFS(B662="Owner Surrender",E662,B662="Stray",E662+6,B662="Stray w/identification",E662+11,B662="Bite",E662+10,B662="Other",E662+30,B662="BAS",E662+56,B662="Seized",E662)</f>
        <v>45839</v>
      </c>
      <c r="G662" s="2">
        <v>45841</v>
      </c>
      <c r="H662" s="5">
        <f t="shared" si="33"/>
        <v>8</v>
      </c>
      <c r="I662" s="5">
        <f t="shared" si="35"/>
        <v>2</v>
      </c>
      <c r="J662" s="2" t="s">
        <v>31</v>
      </c>
      <c r="K662" s="2" t="s">
        <v>587</v>
      </c>
      <c r="L662" t="s">
        <v>190</v>
      </c>
      <c r="AD662" s="33" t="str">
        <f t="shared" si="34"/>
        <v>Thursday</v>
      </c>
    </row>
    <row r="663" spans="1:30" x14ac:dyDescent="0.2">
      <c r="A663" s="23">
        <v>41003</v>
      </c>
      <c r="B663" s="2" t="s">
        <v>38</v>
      </c>
      <c r="C663" t="s">
        <v>78</v>
      </c>
      <c r="D663" t="s">
        <v>207</v>
      </c>
      <c r="E663" s="2">
        <v>45834</v>
      </c>
      <c r="F663" s="2" cm="1">
        <f t="array" ref="F663">_xlfn.IFS(B663="Owner Surrender",E663,B663="Stray",E663+6,B663="Stray w/identification",E663+11,B663="Bite",E663+10,B663="Other",E663+30,B663="BAS",E663+56,B663="Seized",E663)</f>
        <v>45840</v>
      </c>
      <c r="G663" s="2">
        <v>45835</v>
      </c>
      <c r="H663" s="5">
        <f t="shared" si="33"/>
        <v>1</v>
      </c>
      <c r="I663" s="5">
        <f t="shared" si="35"/>
        <v>-5</v>
      </c>
      <c r="J663" s="2" t="s">
        <v>8</v>
      </c>
      <c r="K663" s="2" t="s">
        <v>586</v>
      </c>
      <c r="AD663" s="33" t="str">
        <f t="shared" si="34"/>
        <v>Friday</v>
      </c>
    </row>
    <row r="664" spans="1:30" x14ac:dyDescent="0.2">
      <c r="A664" s="23">
        <v>41007</v>
      </c>
      <c r="B664" s="2" t="s">
        <v>38</v>
      </c>
      <c r="C664" t="s">
        <v>75</v>
      </c>
      <c r="D664" t="s">
        <v>207</v>
      </c>
      <c r="E664" s="2">
        <v>45834</v>
      </c>
      <c r="F664" s="2" cm="1">
        <f t="array" ref="F664">_xlfn.IFS(B664="Owner Surrender",E664,B664="Stray",E664+6,B664="Stray w/identification",E664+11,B664="Bite",E664+10,B664="Other",E664+30,B664="BAS",E664+56,B664="Seized",E664)</f>
        <v>45840</v>
      </c>
      <c r="G664" s="2">
        <v>45841</v>
      </c>
      <c r="H664" s="5">
        <f t="shared" si="33"/>
        <v>7</v>
      </c>
      <c r="I664" s="5">
        <f t="shared" si="35"/>
        <v>1</v>
      </c>
      <c r="J664" s="2" t="s">
        <v>31</v>
      </c>
      <c r="K664" s="2" t="s">
        <v>587</v>
      </c>
      <c r="AD664" s="33" t="str">
        <f t="shared" si="34"/>
        <v>Thursday</v>
      </c>
    </row>
    <row r="665" spans="1:30" x14ac:dyDescent="0.2">
      <c r="A665" s="23">
        <v>41020</v>
      </c>
      <c r="B665" s="2" t="s">
        <v>36</v>
      </c>
      <c r="C665" t="s">
        <v>117</v>
      </c>
      <c r="D665" t="s">
        <v>209</v>
      </c>
      <c r="E665" s="2">
        <v>45835</v>
      </c>
      <c r="F665" s="2" cm="1">
        <f t="array" ref="F665">_xlfn.IFS(B665="Owner Surrender",E665,B665="Stray",E665+6,B665="Stray w/identification",E665+11,B665="Bite",E665+10,B665="Other",E665+30,B665="BAS",E665+56,B665="Seized",E665)</f>
        <v>45835</v>
      </c>
      <c r="G665" s="2">
        <v>45848</v>
      </c>
      <c r="H665" s="5">
        <f t="shared" si="33"/>
        <v>13</v>
      </c>
      <c r="I665" s="5">
        <f t="shared" si="35"/>
        <v>13</v>
      </c>
      <c r="J665" s="2" t="s">
        <v>31</v>
      </c>
      <c r="K665" s="2" t="s">
        <v>587</v>
      </c>
      <c r="AD665" s="33" t="str">
        <f t="shared" si="34"/>
        <v>Thursday</v>
      </c>
    </row>
    <row r="666" spans="1:30" x14ac:dyDescent="0.2">
      <c r="A666" s="23">
        <v>41022</v>
      </c>
      <c r="B666" s="2" t="s">
        <v>38</v>
      </c>
      <c r="C666" t="s">
        <v>48</v>
      </c>
      <c r="D666" t="s">
        <v>207</v>
      </c>
      <c r="E666" s="2">
        <v>45836</v>
      </c>
      <c r="F666" s="2" cm="1">
        <f t="array" ref="F666">_xlfn.IFS(B666="Owner Surrender",E666,B666="Stray",E666+6,B666="Stray w/identification",E666+11,B666="Bite",E666+10,B666="Other",E666+30,B666="BAS",E666+56,B666="Seized",E666)</f>
        <v>45842</v>
      </c>
      <c r="G666" s="2">
        <v>45851</v>
      </c>
      <c r="H666" s="5">
        <f t="shared" si="33"/>
        <v>15</v>
      </c>
      <c r="I666" s="5">
        <f t="shared" si="35"/>
        <v>9</v>
      </c>
      <c r="J666" s="2" t="s">
        <v>31</v>
      </c>
      <c r="K666" s="2" t="s">
        <v>587</v>
      </c>
      <c r="M666" t="s">
        <v>109</v>
      </c>
      <c r="AD666" s="33" t="str">
        <f t="shared" si="34"/>
        <v>Sunday</v>
      </c>
    </row>
    <row r="667" spans="1:30" x14ac:dyDescent="0.2">
      <c r="A667" s="23">
        <v>41023</v>
      </c>
      <c r="B667" s="2" t="s">
        <v>38</v>
      </c>
      <c r="C667" t="s">
        <v>48</v>
      </c>
      <c r="D667" t="s">
        <v>209</v>
      </c>
      <c r="E667" s="2">
        <v>45836</v>
      </c>
      <c r="F667" s="2" cm="1">
        <f t="array" ref="F667">_xlfn.IFS(B667="Owner Surrender",E667,B667="Stray",E667+6,B667="Stray w/identification",E667+11,B667="Bite",E667+10,B667="Other",E667+30,B667="BAS",E667+56,B667="Seized",E667)</f>
        <v>45842</v>
      </c>
      <c r="G667" s="2">
        <v>45851</v>
      </c>
      <c r="H667" s="5">
        <f t="shared" si="33"/>
        <v>15</v>
      </c>
      <c r="I667" s="5">
        <f t="shared" si="35"/>
        <v>9</v>
      </c>
      <c r="J667" s="2" t="s">
        <v>31</v>
      </c>
      <c r="K667" s="2" t="s">
        <v>587</v>
      </c>
      <c r="M667" t="s">
        <v>109</v>
      </c>
      <c r="AD667" s="33" t="str">
        <f t="shared" si="34"/>
        <v>Sunday</v>
      </c>
    </row>
    <row r="668" spans="1:30" x14ac:dyDescent="0.2">
      <c r="A668" s="23">
        <v>41024</v>
      </c>
      <c r="B668" s="2" t="s">
        <v>38</v>
      </c>
      <c r="C668" t="s">
        <v>48</v>
      </c>
      <c r="D668" t="s">
        <v>209</v>
      </c>
      <c r="E668" s="2">
        <v>45836</v>
      </c>
      <c r="F668" s="2" cm="1">
        <f t="array" ref="F668">_xlfn.IFS(B668="Owner Surrender",E668,B668="Stray",E668+6,B668="Stray w/identification",E668+11,B668="Bite",E668+10,B668="Other",E668+30,B668="BAS",E668+56,B668="Seized",E668)</f>
        <v>45842</v>
      </c>
      <c r="G668" s="2">
        <v>45851</v>
      </c>
      <c r="H668" s="5">
        <f t="shared" si="33"/>
        <v>15</v>
      </c>
      <c r="I668" s="5">
        <f t="shared" si="35"/>
        <v>9</v>
      </c>
      <c r="J668" s="2" t="s">
        <v>31</v>
      </c>
      <c r="K668" s="2" t="s">
        <v>587</v>
      </c>
      <c r="M668" t="s">
        <v>109</v>
      </c>
      <c r="AD668" s="33" t="str">
        <f t="shared" si="34"/>
        <v>Sunday</v>
      </c>
    </row>
    <row r="669" spans="1:30" x14ac:dyDescent="0.2">
      <c r="A669" s="23">
        <v>41029</v>
      </c>
      <c r="B669" s="2" t="s">
        <v>38</v>
      </c>
      <c r="C669" t="s">
        <v>70</v>
      </c>
      <c r="D669" t="s">
        <v>207</v>
      </c>
      <c r="E669" s="2">
        <v>45835</v>
      </c>
      <c r="F669" s="2" cm="1">
        <f t="array" ref="F669">_xlfn.IFS(B669="Owner Surrender",E669,B669="Stray",E669+6,B669="Stray w/identification",E669+11,B669="Bite",E669+10,B669="Other",E669+30,B669="BAS",E669+56,B669="Seized",E669)</f>
        <v>45841</v>
      </c>
      <c r="G669" s="2">
        <v>45846</v>
      </c>
      <c r="H669" s="5">
        <f t="shared" si="33"/>
        <v>11</v>
      </c>
      <c r="I669" s="5">
        <f t="shared" si="35"/>
        <v>5</v>
      </c>
      <c r="J669" s="2" t="s">
        <v>31</v>
      </c>
      <c r="K669" s="2" t="s">
        <v>587</v>
      </c>
      <c r="AD669" s="33" t="str">
        <f t="shared" si="34"/>
        <v>Tuesday</v>
      </c>
    </row>
    <row r="670" spans="1:30" x14ac:dyDescent="0.2">
      <c r="A670" s="23">
        <v>41043</v>
      </c>
      <c r="B670" s="2" t="s">
        <v>36</v>
      </c>
      <c r="C670" t="s">
        <v>119</v>
      </c>
      <c r="D670" t="s">
        <v>207</v>
      </c>
      <c r="E670" s="2">
        <v>45836</v>
      </c>
      <c r="F670" s="2" cm="1">
        <f t="array" ref="F670">_xlfn.IFS(B670="Owner Surrender",E670,B670="Stray",E670+6,B670="Stray w/identification",E670+11,B670="Bite",E670+10,B670="Other",E670+30,B670="BAS",E670+56,B670="Seized",E670)</f>
        <v>45836</v>
      </c>
      <c r="G670" s="2">
        <v>45861</v>
      </c>
      <c r="H670" s="5">
        <f t="shared" si="33"/>
        <v>25</v>
      </c>
      <c r="I670" s="5">
        <f t="shared" si="35"/>
        <v>25</v>
      </c>
      <c r="J670" s="2" t="s">
        <v>31</v>
      </c>
      <c r="K670" s="2" t="s">
        <v>587</v>
      </c>
      <c r="L670" s="2" t="s">
        <v>120</v>
      </c>
      <c r="AD670" s="33" t="str">
        <f t="shared" si="34"/>
        <v>Wednesday</v>
      </c>
    </row>
    <row r="671" spans="1:30" x14ac:dyDescent="0.2">
      <c r="A671" s="23">
        <v>41045</v>
      </c>
      <c r="B671" s="2" t="s">
        <v>38</v>
      </c>
      <c r="C671" t="s">
        <v>48</v>
      </c>
      <c r="D671" t="s">
        <v>207</v>
      </c>
      <c r="E671" s="2">
        <v>45837</v>
      </c>
      <c r="F671" s="2" cm="1">
        <f t="array" ref="F671">_xlfn.IFS(B671="Owner Surrender",E671,B671="Stray",E671+6,B671="Stray w/identification",E671+11,B671="Bite",E671+10,B671="Other",E671+30,B671="BAS",E671+56,B671="Seized",E671)</f>
        <v>45843</v>
      </c>
      <c r="G671" s="2">
        <v>45844</v>
      </c>
      <c r="H671" s="5">
        <f t="shared" si="33"/>
        <v>7</v>
      </c>
      <c r="I671" s="5">
        <f t="shared" si="35"/>
        <v>1</v>
      </c>
      <c r="J671" s="2" t="s">
        <v>31</v>
      </c>
      <c r="K671" s="2" t="s">
        <v>587</v>
      </c>
      <c r="L671" s="2" t="s">
        <v>191</v>
      </c>
      <c r="AD671" s="33" t="str">
        <f t="shared" si="34"/>
        <v>Sunday</v>
      </c>
    </row>
    <row r="672" spans="1:30" x14ac:dyDescent="0.2">
      <c r="A672" s="23">
        <v>41046</v>
      </c>
      <c r="B672" s="2" t="s">
        <v>179</v>
      </c>
      <c r="C672" t="s">
        <v>49</v>
      </c>
      <c r="D672" t="s">
        <v>207</v>
      </c>
      <c r="E672" s="2">
        <v>45838</v>
      </c>
      <c r="F672" s="2" cm="1">
        <f t="array" ref="F672">_xlfn.IFS(B672="Owner Surrender",E672,B672="Stray",E672+6,B672="Stray w/identification",E672+11,B672="Bite",E672+10,B672="Other",E672+30,B672="BAS",E672+56,B672="Seized",E672)</f>
        <v>45849</v>
      </c>
      <c r="G672" s="2">
        <v>45852</v>
      </c>
      <c r="H672" s="5">
        <f t="shared" si="33"/>
        <v>14</v>
      </c>
      <c r="I672" s="5">
        <f t="shared" si="35"/>
        <v>3</v>
      </c>
      <c r="J672" s="2" t="s">
        <v>31</v>
      </c>
      <c r="K672" s="2" t="s">
        <v>587</v>
      </c>
      <c r="L672" s="2" t="s">
        <v>121</v>
      </c>
      <c r="AD672" s="33" t="str">
        <f t="shared" si="34"/>
        <v>Monday</v>
      </c>
    </row>
    <row r="673" spans="1:30" x14ac:dyDescent="0.2">
      <c r="A673" s="23">
        <v>41050</v>
      </c>
      <c r="B673" s="2" t="s">
        <v>60</v>
      </c>
      <c r="C673" t="s">
        <v>49</v>
      </c>
      <c r="D673" t="s">
        <v>208</v>
      </c>
      <c r="E673" s="2">
        <v>45838</v>
      </c>
      <c r="F673" s="2" cm="1">
        <f t="array" ref="F673">_xlfn.IFS(B673="Owner Surrender",E673,B673="Stray",E673+6,B673="Stray w/identification",E673+11,B673="Bite",E673+10,B673="Other",E673+30,B673="BAS",E673+56,B673="Seized",E673)</f>
        <v>45868</v>
      </c>
      <c r="H673" s="5">
        <f t="shared" si="33"/>
        <v>-45838</v>
      </c>
      <c r="I673" s="5">
        <f t="shared" si="35"/>
        <v>-45868</v>
      </c>
      <c r="J673" s="2" t="s">
        <v>21</v>
      </c>
      <c r="K673" s="2" t="s">
        <v>586</v>
      </c>
      <c r="AD673" s="33" t="str">
        <f t="shared" si="34"/>
        <v>Saturday</v>
      </c>
    </row>
    <row r="674" spans="1:30" x14ac:dyDescent="0.2">
      <c r="A674" s="23">
        <v>41051</v>
      </c>
      <c r="B674" s="2" t="s">
        <v>60</v>
      </c>
      <c r="C674" t="s">
        <v>49</v>
      </c>
      <c r="D674" t="s">
        <v>208</v>
      </c>
      <c r="E674" s="2">
        <v>45838</v>
      </c>
      <c r="F674" s="2" cm="1">
        <f t="array" ref="F674">_xlfn.IFS(B674="Owner Surrender",E674,B674="Stray",E674+6,B674="Stray w/identification",E674+11,B674="Bite",E674+10,B674="Other",E674+30,B674="BAS",E674+56,B674="Seized",E674)</f>
        <v>45868</v>
      </c>
      <c r="G674" s="2">
        <v>45868</v>
      </c>
      <c r="H674" s="5">
        <f t="shared" si="33"/>
        <v>30</v>
      </c>
      <c r="J674" s="2" t="s">
        <v>31</v>
      </c>
      <c r="K674" s="2" t="s">
        <v>587</v>
      </c>
      <c r="AD674" s="33" t="str">
        <f t="shared" si="34"/>
        <v>Wednesday</v>
      </c>
    </row>
    <row r="675" spans="1:30" x14ac:dyDescent="0.2">
      <c r="A675" s="25">
        <v>41052</v>
      </c>
      <c r="B675" s="2" t="s">
        <v>60</v>
      </c>
      <c r="C675" t="s">
        <v>49</v>
      </c>
      <c r="D675" t="s">
        <v>207</v>
      </c>
      <c r="E675" s="2">
        <v>45838</v>
      </c>
      <c r="F675" s="2" cm="1">
        <f t="array" ref="F675">_xlfn.IFS(B675="Owner Surrender",E675,B675="Stray",E675+6,B675="Stray w/identification",E675+11,B675="Bite",E675+10,B675="Other",E675+30,B675="BAS",E675+56,B675="Seized",E675)</f>
        <v>45868</v>
      </c>
      <c r="G675" s="2">
        <v>45861</v>
      </c>
      <c r="H675" s="5">
        <f t="shared" si="33"/>
        <v>23</v>
      </c>
      <c r="J675" s="2" t="s">
        <v>31</v>
      </c>
      <c r="K675" s="2" t="s">
        <v>587</v>
      </c>
      <c r="AD675" s="33" t="str">
        <f t="shared" si="34"/>
        <v>Wednesday</v>
      </c>
    </row>
    <row r="676" spans="1:30" x14ac:dyDescent="0.2">
      <c r="A676" s="23">
        <v>41053</v>
      </c>
      <c r="B676" s="2" t="s">
        <v>52</v>
      </c>
      <c r="C676" t="s">
        <v>49</v>
      </c>
      <c r="D676" t="s">
        <v>207</v>
      </c>
      <c r="E676" s="2">
        <v>45838</v>
      </c>
      <c r="F676" s="2" cm="1">
        <f t="array" ref="F676">_xlfn.IFS(B676="Owner Surrender",E676,B676="Stray",E676+6,B676="Stray w/identification",E676+11,B676="Bite",E676+10,B676="Other",E676+30,B676="BAS",E676+56,B676="Seized",E676)</f>
        <v>45838</v>
      </c>
      <c r="H676" s="5">
        <f t="shared" si="33"/>
        <v>-45838</v>
      </c>
      <c r="I676" s="5">
        <f t="shared" ref="I676:I688" si="36">G676-F676</f>
        <v>-45838</v>
      </c>
      <c r="J676" s="2" t="s">
        <v>21</v>
      </c>
      <c r="K676" s="2" t="s">
        <v>586</v>
      </c>
      <c r="M676" t="s">
        <v>577</v>
      </c>
      <c r="AD676" s="33" t="str">
        <f t="shared" si="34"/>
        <v>Saturday</v>
      </c>
    </row>
    <row r="677" spans="1:30" x14ac:dyDescent="0.2">
      <c r="A677" s="23">
        <v>41054</v>
      </c>
      <c r="B677" s="2" t="s">
        <v>38</v>
      </c>
      <c r="C677" t="s">
        <v>69</v>
      </c>
      <c r="D677" t="s">
        <v>207</v>
      </c>
      <c r="E677" s="2">
        <v>45838</v>
      </c>
      <c r="F677" s="2" cm="1">
        <f t="array" ref="F677">_xlfn.IFS(B677="Owner Surrender",E677,B677="Stray",E677+6,B677="Stray w/identification",E677+11,B677="Bite",E677+10,B677="Other",E677+30,B677="BAS",E677+56,B677="Seized",E677)</f>
        <v>45844</v>
      </c>
      <c r="G677" s="2">
        <v>45849</v>
      </c>
      <c r="H677" s="5">
        <f t="shared" si="33"/>
        <v>11</v>
      </c>
      <c r="I677" s="5">
        <f t="shared" si="36"/>
        <v>5</v>
      </c>
      <c r="J677" s="2" t="s">
        <v>18</v>
      </c>
      <c r="K677" s="2" t="s">
        <v>586</v>
      </c>
      <c r="M677" t="s">
        <v>19</v>
      </c>
      <c r="AD677" s="33" t="str">
        <f t="shared" si="34"/>
        <v>Friday</v>
      </c>
    </row>
    <row r="678" spans="1:30" x14ac:dyDescent="0.2">
      <c r="A678" s="23">
        <v>41055</v>
      </c>
      <c r="B678" s="2" t="s">
        <v>38</v>
      </c>
      <c r="C678" t="s">
        <v>89</v>
      </c>
      <c r="D678" t="s">
        <v>207</v>
      </c>
      <c r="E678" s="2">
        <v>45838</v>
      </c>
      <c r="F678" s="2" cm="1">
        <f t="array" ref="F678">_xlfn.IFS(B678="Owner Surrender",E678,B678="Stray",E678+6,B678="Stray w/identification",E678+11,B678="Bite",E678+10,B678="Other",E678+30,B678="BAS",E678+56,B678="Seized",E678)</f>
        <v>45844</v>
      </c>
      <c r="G678" s="2">
        <v>45849</v>
      </c>
      <c r="H678" s="5">
        <f t="shared" si="33"/>
        <v>11</v>
      </c>
      <c r="I678" s="5">
        <f t="shared" si="36"/>
        <v>5</v>
      </c>
      <c r="J678" s="2" t="s">
        <v>18</v>
      </c>
      <c r="K678" s="2" t="s">
        <v>586</v>
      </c>
      <c r="L678" s="2" t="s">
        <v>90</v>
      </c>
      <c r="M678" s="2" t="s">
        <v>19</v>
      </c>
      <c r="AD678" s="33" t="str">
        <f t="shared" si="34"/>
        <v>Friday</v>
      </c>
    </row>
    <row r="679" spans="1:30" x14ac:dyDescent="0.2">
      <c r="A679" s="23">
        <v>41056</v>
      </c>
      <c r="B679" s="2" t="s">
        <v>36</v>
      </c>
      <c r="C679" t="s">
        <v>48</v>
      </c>
      <c r="D679" t="s">
        <v>207</v>
      </c>
      <c r="E679" s="2">
        <v>45838</v>
      </c>
      <c r="F679" s="2" cm="1">
        <f t="array" ref="F679">_xlfn.IFS(B679="Owner Surrender",E679,B679="Stray",E679+6,B679="Stray w/identification",E679+11,B679="Bite",E679+10,B679="Other",E679+30,B679="BAS",E679+56,B679="Seized",E679)</f>
        <v>45838</v>
      </c>
      <c r="G679" s="2">
        <v>45841</v>
      </c>
      <c r="H679" s="5">
        <f t="shared" si="33"/>
        <v>3</v>
      </c>
      <c r="I679" s="5">
        <f t="shared" si="36"/>
        <v>3</v>
      </c>
      <c r="J679" s="2" t="s">
        <v>31</v>
      </c>
      <c r="K679" s="2" t="s">
        <v>587</v>
      </c>
      <c r="AD679" s="33" t="str">
        <f t="shared" si="34"/>
        <v>Thursday</v>
      </c>
    </row>
    <row r="680" spans="1:30" x14ac:dyDescent="0.2">
      <c r="A680" s="23">
        <v>41063</v>
      </c>
      <c r="B680" s="2" t="s">
        <v>38</v>
      </c>
      <c r="C680" t="s">
        <v>53</v>
      </c>
      <c r="D680" t="s">
        <v>207</v>
      </c>
      <c r="E680" s="2">
        <v>45839</v>
      </c>
      <c r="F680" s="2" cm="1">
        <f t="array" ref="F680">_xlfn.IFS(B680="Owner Surrender",E680,B680="Stray",E680+6,B680="Stray w/identification",E680+11,B680="Bite",E680+10,B680="Other",E680+30,B680="BAS",E680+56,B680="Seized",E680)</f>
        <v>45845</v>
      </c>
      <c r="G680" s="2">
        <v>45853</v>
      </c>
      <c r="H680" s="5">
        <f t="shared" si="33"/>
        <v>14</v>
      </c>
      <c r="I680" s="5">
        <f t="shared" si="36"/>
        <v>8</v>
      </c>
      <c r="J680" s="2" t="s">
        <v>11</v>
      </c>
      <c r="K680" s="2" t="s">
        <v>586</v>
      </c>
      <c r="AD680" s="33" t="str">
        <f t="shared" si="34"/>
        <v>Tuesday</v>
      </c>
    </row>
    <row r="681" spans="1:30" x14ac:dyDescent="0.2">
      <c r="A681" s="23">
        <v>41064</v>
      </c>
      <c r="B681" s="2" t="s">
        <v>36</v>
      </c>
      <c r="C681" t="s">
        <v>56</v>
      </c>
      <c r="D681" t="s">
        <v>207</v>
      </c>
      <c r="E681" s="2">
        <v>45839</v>
      </c>
      <c r="F681" s="2" cm="1">
        <f t="array" ref="F681">_xlfn.IFS(B681="Owner Surrender",E681,B681="Stray",E681+6,B681="Stray w/identification",E681+11,B681="Bite",E681+10,B681="Other",E681+30,B681="BAS",E681+56,B681="Seized",E681)</f>
        <v>45839</v>
      </c>
      <c r="G681" s="2">
        <v>45846</v>
      </c>
      <c r="H681" s="5">
        <f t="shared" si="33"/>
        <v>7</v>
      </c>
      <c r="I681" s="5">
        <f t="shared" si="36"/>
        <v>7</v>
      </c>
      <c r="J681" s="2" t="s">
        <v>31</v>
      </c>
      <c r="K681" s="2" t="s">
        <v>587</v>
      </c>
      <c r="M681" t="s">
        <v>76</v>
      </c>
      <c r="AD681" s="33" t="str">
        <f t="shared" si="34"/>
        <v>Tuesday</v>
      </c>
    </row>
    <row r="682" spans="1:30" x14ac:dyDescent="0.2">
      <c r="A682" s="23">
        <v>41065</v>
      </c>
      <c r="B682" s="2" t="s">
        <v>179</v>
      </c>
      <c r="C682" t="s">
        <v>69</v>
      </c>
      <c r="D682" t="s">
        <v>207</v>
      </c>
      <c r="E682" s="2">
        <v>45839</v>
      </c>
      <c r="F682" s="2" cm="1">
        <f t="array" ref="F682">_xlfn.IFS(B682="Owner Surrender",E682,B682="Stray",E682+6,B682="Stray w/identification",E682+11,B682="Bite",E682+10,B682="Other",E682+30,B682="BAS",E682+56,B682="Seized",E682)</f>
        <v>45850</v>
      </c>
      <c r="G682" s="2">
        <v>45846</v>
      </c>
      <c r="H682" s="5">
        <f t="shared" si="33"/>
        <v>7</v>
      </c>
      <c r="I682" s="5">
        <f t="shared" si="36"/>
        <v>-4</v>
      </c>
      <c r="J682" s="2" t="s">
        <v>31</v>
      </c>
      <c r="K682" s="2" t="s">
        <v>587</v>
      </c>
      <c r="M682" t="s">
        <v>192</v>
      </c>
      <c r="AD682" s="33" t="str">
        <f t="shared" si="34"/>
        <v>Tuesday</v>
      </c>
    </row>
    <row r="683" spans="1:30" x14ac:dyDescent="0.2">
      <c r="A683" s="23">
        <v>41066</v>
      </c>
      <c r="B683" s="2" t="s">
        <v>38</v>
      </c>
      <c r="C683" t="s">
        <v>69</v>
      </c>
      <c r="D683" t="s">
        <v>208</v>
      </c>
      <c r="E683" s="2">
        <v>45839</v>
      </c>
      <c r="F683" s="2" cm="1">
        <f t="array" ref="F683">_xlfn.IFS(B683="Owner Surrender",E683,B683="Stray",E683+6,B683="Stray w/identification",E683+11,B683="Bite",E683+10,B683="Other",E683+30,B683="BAS",E683+56,B683="Seized",E683)</f>
        <v>45845</v>
      </c>
      <c r="G683" s="2">
        <v>45846</v>
      </c>
      <c r="H683" s="5">
        <f t="shared" si="33"/>
        <v>7</v>
      </c>
      <c r="I683" s="5">
        <f t="shared" si="36"/>
        <v>1</v>
      </c>
      <c r="J683" s="2" t="s">
        <v>31</v>
      </c>
      <c r="K683" s="2" t="s">
        <v>588</v>
      </c>
      <c r="M683" t="s">
        <v>66</v>
      </c>
      <c r="AD683" s="33" t="str">
        <f t="shared" si="34"/>
        <v>Tuesday</v>
      </c>
    </row>
    <row r="684" spans="1:30" x14ac:dyDescent="0.2">
      <c r="A684" s="23">
        <v>41067</v>
      </c>
      <c r="B684" s="2" t="s">
        <v>38</v>
      </c>
      <c r="C684" t="s">
        <v>69</v>
      </c>
      <c r="D684" t="s">
        <v>208</v>
      </c>
      <c r="E684" s="2">
        <v>45839</v>
      </c>
      <c r="F684" s="2" cm="1">
        <f t="array" ref="F684">_xlfn.IFS(B684="Owner Surrender",E684,B684="Stray",E684+6,B684="Stray w/identification",E684+11,B684="Bite",E684+10,B684="Other",E684+30,B684="BAS",E684+56,B684="Seized",E684)</f>
        <v>45845</v>
      </c>
      <c r="G684" s="2">
        <v>45846</v>
      </c>
      <c r="H684" s="5">
        <f t="shared" si="33"/>
        <v>7</v>
      </c>
      <c r="I684" s="5">
        <f t="shared" si="36"/>
        <v>1</v>
      </c>
      <c r="J684" s="2" t="s">
        <v>31</v>
      </c>
      <c r="K684" s="2" t="s">
        <v>588</v>
      </c>
      <c r="M684" t="s">
        <v>66</v>
      </c>
      <c r="AD684" s="33" t="str">
        <f t="shared" si="34"/>
        <v>Tuesday</v>
      </c>
    </row>
    <row r="685" spans="1:30" x14ac:dyDescent="0.2">
      <c r="A685" s="23">
        <v>41068</v>
      </c>
      <c r="B685" s="2" t="s">
        <v>38</v>
      </c>
      <c r="C685" t="s">
        <v>69</v>
      </c>
      <c r="D685" t="s">
        <v>208</v>
      </c>
      <c r="E685" s="2">
        <v>45839</v>
      </c>
      <c r="F685" s="2" cm="1">
        <f t="array" ref="F685">_xlfn.IFS(B685="Owner Surrender",E685,B685="Stray",E685+6,B685="Stray w/identification",E685+11,B685="Bite",E685+10,B685="Other",E685+30,B685="BAS",E685+56,B685="Seized",E685)</f>
        <v>45845</v>
      </c>
      <c r="G685" s="2">
        <v>45846</v>
      </c>
      <c r="H685" s="5">
        <f t="shared" si="33"/>
        <v>7</v>
      </c>
      <c r="I685" s="5">
        <f t="shared" si="36"/>
        <v>1</v>
      </c>
      <c r="J685" s="2" t="s">
        <v>31</v>
      </c>
      <c r="K685" s="2" t="s">
        <v>588</v>
      </c>
      <c r="M685" t="s">
        <v>66</v>
      </c>
      <c r="AD685" s="33" t="str">
        <f t="shared" si="34"/>
        <v>Tuesday</v>
      </c>
    </row>
    <row r="686" spans="1:30" x14ac:dyDescent="0.2">
      <c r="A686" s="23">
        <v>41074</v>
      </c>
      <c r="B686" s="2" t="s">
        <v>43</v>
      </c>
      <c r="C686" t="s">
        <v>49</v>
      </c>
      <c r="D686" t="s">
        <v>208</v>
      </c>
      <c r="E686" s="2">
        <v>45839</v>
      </c>
      <c r="F686" s="2" cm="1">
        <f t="array" ref="F686">_xlfn.IFS(B686="Owner Surrender",E686,B686="Stray",E686+6,B686="Stray w/identification",E686+11,B686="Bite",E686+10,B686="Other",E686+30,B686="BAS",E686+56,B686="Seized",E686)</f>
        <v>45895</v>
      </c>
      <c r="G686" s="2">
        <v>45869</v>
      </c>
      <c r="H686" s="5">
        <f t="shared" si="33"/>
        <v>30</v>
      </c>
      <c r="I686" s="5">
        <f t="shared" si="36"/>
        <v>-26</v>
      </c>
      <c r="J686" s="2" t="s">
        <v>28</v>
      </c>
      <c r="K686" s="2" t="s">
        <v>586</v>
      </c>
      <c r="M686" t="s">
        <v>111</v>
      </c>
      <c r="AD686" s="33" t="str">
        <f t="shared" si="34"/>
        <v>Thursday</v>
      </c>
    </row>
    <row r="687" spans="1:30" x14ac:dyDescent="0.2">
      <c r="A687" s="23">
        <v>41075</v>
      </c>
      <c r="B687" s="2" t="s">
        <v>43</v>
      </c>
      <c r="C687" t="s">
        <v>49</v>
      </c>
      <c r="D687" t="s">
        <v>208</v>
      </c>
      <c r="E687" s="2">
        <v>45839</v>
      </c>
      <c r="F687" s="2" cm="1">
        <f t="array" ref="F687">_xlfn.IFS(B687="Owner Surrender",E687,B687="Stray",E687+6,B687="Stray w/identification",E687+11,B687="Bite",E687+10,B687="Other",E687+30,B687="BAS",E687+56,B687="Seized",E687)</f>
        <v>45895</v>
      </c>
      <c r="G687" s="2">
        <v>45897</v>
      </c>
      <c r="H687" s="5">
        <f t="shared" si="33"/>
        <v>58</v>
      </c>
      <c r="I687" s="5">
        <f t="shared" si="36"/>
        <v>2</v>
      </c>
      <c r="J687" s="2" t="s">
        <v>31</v>
      </c>
      <c r="K687" s="2" t="s">
        <v>588</v>
      </c>
      <c r="M687" s="2" t="s">
        <v>636</v>
      </c>
      <c r="AD687" s="33" t="str">
        <f t="shared" si="34"/>
        <v>Thursday</v>
      </c>
    </row>
    <row r="688" spans="1:30" x14ac:dyDescent="0.2">
      <c r="A688" s="23">
        <v>41076</v>
      </c>
      <c r="B688" s="2" t="s">
        <v>43</v>
      </c>
      <c r="C688" t="s">
        <v>49</v>
      </c>
      <c r="D688" t="s">
        <v>208</v>
      </c>
      <c r="E688" s="2">
        <v>45839</v>
      </c>
      <c r="F688" s="2" cm="1">
        <f t="array" ref="F688">_xlfn.IFS(B688="Owner Surrender",E688,B688="Stray",E688+6,B688="Stray w/identification",E688+11,B688="Bite",E688+10,B688="Other",E688+30,B688="BAS",E688+56,B688="Seized",E688)</f>
        <v>45895</v>
      </c>
      <c r="G688" s="2">
        <v>45877</v>
      </c>
      <c r="H688" s="5">
        <f t="shared" si="33"/>
        <v>38</v>
      </c>
      <c r="I688" s="5">
        <f t="shared" si="36"/>
        <v>-18</v>
      </c>
      <c r="J688" s="2" t="s">
        <v>31</v>
      </c>
      <c r="K688" s="2" t="s">
        <v>587</v>
      </c>
      <c r="AD688" s="33" t="str">
        <f t="shared" si="34"/>
        <v>Friday</v>
      </c>
    </row>
    <row r="689" spans="1:30" x14ac:dyDescent="0.2">
      <c r="A689" s="23">
        <v>41077</v>
      </c>
      <c r="B689" s="2" t="s">
        <v>43</v>
      </c>
      <c r="C689" t="s">
        <v>49</v>
      </c>
      <c r="D689" t="s">
        <v>208</v>
      </c>
      <c r="E689" s="2">
        <v>45839</v>
      </c>
      <c r="F689" s="2" cm="1">
        <f t="array" ref="F689">_xlfn.IFS(B689="Owner Surrender",E689,B689="Stray",E689+6,B689="Stray w/identification",E689+11,B689="Bite",E689+10,B689="Other",E689+30,B689="BAS",E689+56,B689="Seized",E689)</f>
        <v>45895</v>
      </c>
      <c r="J689" s="2" t="s">
        <v>21</v>
      </c>
      <c r="K689" s="2" t="s">
        <v>586</v>
      </c>
      <c r="M689" s="2" t="s">
        <v>103</v>
      </c>
      <c r="AD689" s="33" t="str">
        <f t="shared" si="34"/>
        <v>Saturday</v>
      </c>
    </row>
    <row r="690" spans="1:30" x14ac:dyDescent="0.2">
      <c r="A690" s="23">
        <v>41078</v>
      </c>
      <c r="B690" s="2" t="s">
        <v>43</v>
      </c>
      <c r="C690" t="s">
        <v>49</v>
      </c>
      <c r="D690" t="s">
        <v>208</v>
      </c>
      <c r="E690" s="2">
        <v>45839</v>
      </c>
      <c r="F690" s="2" cm="1">
        <f t="array" ref="F690">_xlfn.IFS(B690="Owner Surrender",E690,B690="Stray",E690+6,B690="Stray w/identification",E690+11,B690="Bite",E690+10,B690="Other",E690+30,B690="BAS",E690+56,B690="Seized",E690)</f>
        <v>45895</v>
      </c>
      <c r="J690" s="2" t="s">
        <v>21</v>
      </c>
      <c r="K690" s="2" t="s">
        <v>586</v>
      </c>
      <c r="M690" s="2" t="s">
        <v>103</v>
      </c>
      <c r="AD690" s="33" t="str">
        <f t="shared" si="34"/>
        <v>Saturday</v>
      </c>
    </row>
    <row r="691" spans="1:30" x14ac:dyDescent="0.2">
      <c r="A691" s="23">
        <v>41079</v>
      </c>
      <c r="B691" s="2" t="s">
        <v>43</v>
      </c>
      <c r="C691" t="s">
        <v>49</v>
      </c>
      <c r="D691" t="s">
        <v>208</v>
      </c>
      <c r="E691" s="2">
        <v>45839</v>
      </c>
      <c r="F691" s="2" cm="1">
        <f t="array" ref="F691">_xlfn.IFS(B691="Owner Surrender",E691,B691="Stray",E691+6,B691="Stray w/identification",E691+11,B691="Bite",E691+10,B691="Other",E691+30,B691="BAS",E691+56,B691="Seized",E691)</f>
        <v>45895</v>
      </c>
      <c r="J691" s="2" t="s">
        <v>21</v>
      </c>
      <c r="K691" s="2" t="s">
        <v>586</v>
      </c>
      <c r="M691" s="2" t="s">
        <v>103</v>
      </c>
      <c r="AD691" s="33" t="str">
        <f t="shared" si="34"/>
        <v>Saturday</v>
      </c>
    </row>
    <row r="692" spans="1:30" x14ac:dyDescent="0.2">
      <c r="A692" s="23">
        <v>41080</v>
      </c>
      <c r="B692" s="2" t="s">
        <v>43</v>
      </c>
      <c r="C692" t="s">
        <v>49</v>
      </c>
      <c r="D692" t="s">
        <v>208</v>
      </c>
      <c r="E692" s="2">
        <v>45839</v>
      </c>
      <c r="F692" s="2" cm="1">
        <f t="array" ref="F692">_xlfn.IFS(B692="Owner Surrender",E692,B692="Stray",E692+6,B692="Stray w/identification",E692+11,B692="Bite",E692+10,B692="Other",E692+30,B692="BAS",E692+56,B692="Seized",E692)</f>
        <v>45895</v>
      </c>
      <c r="G692" s="2">
        <v>45877</v>
      </c>
      <c r="H692" s="5">
        <f t="shared" ref="H692:H723" si="37">+G692-E692</f>
        <v>38</v>
      </c>
      <c r="I692" s="5">
        <f t="shared" ref="I692:I720" si="38">G692-F692</f>
        <v>-18</v>
      </c>
      <c r="J692" s="2" t="s">
        <v>31</v>
      </c>
      <c r="K692" s="2" t="s">
        <v>587</v>
      </c>
      <c r="AD692" s="33" t="str">
        <f t="shared" si="34"/>
        <v>Friday</v>
      </c>
    </row>
    <row r="693" spans="1:30" x14ac:dyDescent="0.2">
      <c r="A693" s="23">
        <v>41081</v>
      </c>
      <c r="B693" s="2" t="s">
        <v>43</v>
      </c>
      <c r="C693" t="s">
        <v>49</v>
      </c>
      <c r="D693" t="s">
        <v>208</v>
      </c>
      <c r="E693" s="2">
        <v>45839</v>
      </c>
      <c r="F693" s="2" cm="1">
        <f t="array" ref="F693">_xlfn.IFS(B693="Owner Surrender",E693,B693="Stray",E693+6,B693="Stray w/identification",E693+11,B693="Bite",E693+10,B693="Other",E693+30,B693="BAS",E693+56,B693="Seized",E693)</f>
        <v>45895</v>
      </c>
      <c r="G693" s="2">
        <v>45877</v>
      </c>
      <c r="H693" s="5">
        <f t="shared" si="37"/>
        <v>38</v>
      </c>
      <c r="I693" s="5">
        <f t="shared" si="38"/>
        <v>-18</v>
      </c>
      <c r="J693" s="2" t="s">
        <v>31</v>
      </c>
      <c r="K693" s="2" t="s">
        <v>587</v>
      </c>
      <c r="AD693" s="33" t="str">
        <f t="shared" si="34"/>
        <v>Friday</v>
      </c>
    </row>
    <row r="694" spans="1:30" x14ac:dyDescent="0.2">
      <c r="A694" s="23">
        <v>41082</v>
      </c>
      <c r="B694" s="2" t="s">
        <v>43</v>
      </c>
      <c r="C694" t="s">
        <v>49</v>
      </c>
      <c r="D694" t="s">
        <v>208</v>
      </c>
      <c r="E694" s="2">
        <v>45839</v>
      </c>
      <c r="F694" s="2" cm="1">
        <f t="array" ref="F694">_xlfn.IFS(B694="Owner Surrender",E694,B694="Stray",E694+6,B694="Stray w/identification",E694+11,B694="Bite",E694+10,B694="Other",E694+30,B694="BAS",E694+56,B694="Seized",E694)</f>
        <v>45895</v>
      </c>
      <c r="G694" s="2">
        <v>45877</v>
      </c>
      <c r="H694" s="5">
        <f t="shared" si="37"/>
        <v>38</v>
      </c>
      <c r="I694" s="5">
        <f t="shared" si="38"/>
        <v>-18</v>
      </c>
      <c r="J694" s="2" t="s">
        <v>31</v>
      </c>
      <c r="K694" s="2" t="s">
        <v>587</v>
      </c>
      <c r="AD694" s="33" t="str">
        <f t="shared" si="34"/>
        <v>Friday</v>
      </c>
    </row>
    <row r="695" spans="1:30" x14ac:dyDescent="0.2">
      <c r="A695" s="23">
        <v>41083</v>
      </c>
      <c r="B695" s="2" t="s">
        <v>43</v>
      </c>
      <c r="C695" t="s">
        <v>49</v>
      </c>
      <c r="D695" t="s">
        <v>208</v>
      </c>
      <c r="E695" s="2">
        <v>45839</v>
      </c>
      <c r="F695" s="2" cm="1">
        <f t="array" ref="F695">_xlfn.IFS(B695="Owner Surrender",E695,B695="Stray",E695+6,B695="Stray w/identification",E695+11,B695="Bite",E695+10,B695="Other",E695+30,B695="BAS",E695+56,B695="Seized",E695)</f>
        <v>45895</v>
      </c>
      <c r="G695" s="2">
        <v>45865</v>
      </c>
      <c r="H695" s="5">
        <f t="shared" si="37"/>
        <v>26</v>
      </c>
      <c r="I695" s="5">
        <f t="shared" si="38"/>
        <v>-30</v>
      </c>
      <c r="J695" s="2" t="s">
        <v>31</v>
      </c>
      <c r="K695" s="2" t="s">
        <v>587</v>
      </c>
      <c r="AD695" s="33" t="str">
        <f t="shared" si="34"/>
        <v>Sunday</v>
      </c>
    </row>
    <row r="696" spans="1:30" x14ac:dyDescent="0.2">
      <c r="A696" s="23">
        <v>41085</v>
      </c>
      <c r="B696" s="2" t="s">
        <v>38</v>
      </c>
      <c r="C696" t="s">
        <v>48</v>
      </c>
      <c r="D696" t="s">
        <v>207</v>
      </c>
      <c r="E696" s="2">
        <v>45840</v>
      </c>
      <c r="F696" s="2" cm="1">
        <f t="array" ref="F696">_xlfn.IFS(B696="Owner Surrender",E696,B696="Stray",E696+6,B696="Stray w/identification",E696+11,B696="Bite",E696+10,B696="Other",E696+30,B696="BAS",E696+56,B696="Seized",E696)</f>
        <v>45846</v>
      </c>
      <c r="G696" s="2">
        <v>45852</v>
      </c>
      <c r="H696" s="5">
        <f t="shared" si="37"/>
        <v>12</v>
      </c>
      <c r="I696" s="5">
        <f t="shared" si="38"/>
        <v>6</v>
      </c>
      <c r="J696" s="2" t="s">
        <v>31</v>
      </c>
      <c r="K696" s="2" t="s">
        <v>587</v>
      </c>
      <c r="AD696" s="33" t="str">
        <f t="shared" si="34"/>
        <v>Monday</v>
      </c>
    </row>
    <row r="697" spans="1:30" x14ac:dyDescent="0.2">
      <c r="A697" s="23">
        <v>41087</v>
      </c>
      <c r="B697" s="2" t="s">
        <v>36</v>
      </c>
      <c r="C697" t="s">
        <v>48</v>
      </c>
      <c r="D697" t="s">
        <v>209</v>
      </c>
      <c r="E697" s="2">
        <v>45840</v>
      </c>
      <c r="F697" s="2" cm="1">
        <f t="array" ref="F697">_xlfn.IFS(B697="Owner Surrender",E697,B697="Stray",E697+6,B697="Stray w/identification",E697+11,B697="Bite",E697+10,B697="Other",E697+30,B697="BAS",E697+56,B697="Seized",E697)</f>
        <v>45840</v>
      </c>
      <c r="G697" s="2">
        <v>45841</v>
      </c>
      <c r="H697" s="5">
        <f t="shared" si="37"/>
        <v>1</v>
      </c>
      <c r="I697" s="5">
        <f t="shared" si="38"/>
        <v>1</v>
      </c>
      <c r="J697" s="2" t="s">
        <v>31</v>
      </c>
      <c r="K697" s="2" t="s">
        <v>587</v>
      </c>
      <c r="L697" s="2" t="s">
        <v>73</v>
      </c>
      <c r="AD697" s="33" t="str">
        <f t="shared" si="34"/>
        <v>Thursday</v>
      </c>
    </row>
    <row r="698" spans="1:30" x14ac:dyDescent="0.2">
      <c r="A698" s="23">
        <v>41088</v>
      </c>
      <c r="B698" s="2" t="s">
        <v>36</v>
      </c>
      <c r="C698" t="s">
        <v>48</v>
      </c>
      <c r="D698" t="s">
        <v>209</v>
      </c>
      <c r="E698" s="2">
        <v>45840</v>
      </c>
      <c r="F698" s="2" cm="1">
        <f t="array" ref="F698">_xlfn.IFS(B698="Owner Surrender",E698,B698="Stray",E698+6,B698="Stray w/identification",E698+11,B698="Bite",E698+10,B698="Other",E698+30,B698="BAS",E698+56,B698="Seized",E698)</f>
        <v>45840</v>
      </c>
      <c r="G698" s="2">
        <v>45841</v>
      </c>
      <c r="H698" s="5">
        <f t="shared" si="37"/>
        <v>1</v>
      </c>
      <c r="I698" s="5">
        <f t="shared" si="38"/>
        <v>1</v>
      </c>
      <c r="J698" s="2" t="s">
        <v>31</v>
      </c>
      <c r="K698" s="2" t="s">
        <v>587</v>
      </c>
      <c r="L698" s="2" t="s">
        <v>74</v>
      </c>
      <c r="AD698" s="33" t="str">
        <f t="shared" si="34"/>
        <v>Thursday</v>
      </c>
    </row>
    <row r="699" spans="1:30" x14ac:dyDescent="0.2">
      <c r="A699" s="23">
        <v>41089</v>
      </c>
      <c r="B699" s="2" t="s">
        <v>36</v>
      </c>
      <c r="C699" t="s">
        <v>56</v>
      </c>
      <c r="D699" t="s">
        <v>208</v>
      </c>
      <c r="E699" s="2">
        <v>45840</v>
      </c>
      <c r="F699" s="2" cm="1">
        <f t="array" ref="F699">_xlfn.IFS(B699="Owner Surrender",E699,B699="Stray",E699+6,B699="Stray w/identification",E699+11,B699="Bite",E699+10,B699="Other",E699+30,B699="BAS",E699+56,B699="Seized",E699)</f>
        <v>45840</v>
      </c>
      <c r="G699" s="2">
        <v>45846</v>
      </c>
      <c r="H699" s="5">
        <f t="shared" si="37"/>
        <v>6</v>
      </c>
      <c r="I699" s="5">
        <f t="shared" si="38"/>
        <v>6</v>
      </c>
      <c r="J699" s="2" t="s">
        <v>31</v>
      </c>
      <c r="K699" s="2" t="s">
        <v>588</v>
      </c>
      <c r="M699" t="s">
        <v>66</v>
      </c>
      <c r="AD699" s="33" t="str">
        <f t="shared" si="34"/>
        <v>Tuesday</v>
      </c>
    </row>
    <row r="700" spans="1:30" x14ac:dyDescent="0.2">
      <c r="A700" s="23">
        <v>41093</v>
      </c>
      <c r="B700" s="2" t="s">
        <v>179</v>
      </c>
      <c r="C700" t="s">
        <v>95</v>
      </c>
      <c r="D700" t="s">
        <v>207</v>
      </c>
      <c r="E700" s="2">
        <v>45840</v>
      </c>
      <c r="F700" s="2" cm="1">
        <f t="array" ref="F700">_xlfn.IFS(B700="Owner Surrender",E700,B700="Stray",E700+6,B700="Stray w/identification",E700+11,B700="Bite",E700+10,B700="Other",E700+30,B700="BAS",E700+56,B700="Seized",E700)</f>
        <v>45851</v>
      </c>
      <c r="G700" s="2">
        <v>45852</v>
      </c>
      <c r="H700" s="5">
        <f t="shared" si="37"/>
        <v>12</v>
      </c>
      <c r="I700" s="5">
        <f t="shared" si="38"/>
        <v>1</v>
      </c>
      <c r="J700" s="2" t="s">
        <v>31</v>
      </c>
      <c r="K700" s="2" t="s">
        <v>588</v>
      </c>
      <c r="L700" s="2" t="s">
        <v>96</v>
      </c>
      <c r="M700" t="s">
        <v>193</v>
      </c>
      <c r="AD700" s="33" t="str">
        <f t="shared" si="34"/>
        <v>Monday</v>
      </c>
    </row>
    <row r="701" spans="1:30" x14ac:dyDescent="0.2">
      <c r="A701" s="23">
        <v>41110</v>
      </c>
      <c r="B701" s="2" t="s">
        <v>36</v>
      </c>
      <c r="C701" t="s">
        <v>87</v>
      </c>
      <c r="D701" t="s">
        <v>207</v>
      </c>
      <c r="E701" s="2">
        <v>45841</v>
      </c>
      <c r="F701" s="2" cm="1">
        <f t="array" ref="F701">_xlfn.IFS(B701="Owner Surrender",E701,B701="Stray",E701+6,B701="Stray w/identification",E701+11,B701="Bite",E701+10,B701="Other",E701+30,B701="BAS",E701+56,B701="Seized",E701)</f>
        <v>45841</v>
      </c>
      <c r="G701" s="2">
        <v>45859</v>
      </c>
      <c r="H701" s="5">
        <f t="shared" si="37"/>
        <v>18</v>
      </c>
      <c r="I701" s="5">
        <f t="shared" si="38"/>
        <v>18</v>
      </c>
      <c r="J701" s="2" t="s">
        <v>18</v>
      </c>
      <c r="K701" s="2" t="s">
        <v>586</v>
      </c>
      <c r="M701" t="s">
        <v>84</v>
      </c>
      <c r="AD701" s="33" t="str">
        <f t="shared" si="34"/>
        <v>Monday</v>
      </c>
    </row>
    <row r="702" spans="1:30" x14ac:dyDescent="0.2">
      <c r="A702" s="23">
        <v>41111</v>
      </c>
      <c r="B702" s="2" t="s">
        <v>36</v>
      </c>
      <c r="C702" t="s">
        <v>48</v>
      </c>
      <c r="D702" t="s">
        <v>207</v>
      </c>
      <c r="E702" s="2">
        <v>45841</v>
      </c>
      <c r="F702" s="2" cm="1">
        <f t="array" ref="F702">_xlfn.IFS(B702="Owner Surrender",E702,B702="Stray",E702+6,B702="Stray w/identification",E702+11,B702="Bite",E702+10,B702="Other",E702+30,B702="BAS",E702+56,B702="Seized",E702)</f>
        <v>45841</v>
      </c>
      <c r="G702" s="2">
        <v>45846</v>
      </c>
      <c r="H702" s="5">
        <f t="shared" si="37"/>
        <v>5</v>
      </c>
      <c r="I702" s="5">
        <f t="shared" si="38"/>
        <v>5</v>
      </c>
      <c r="J702" s="2" t="s">
        <v>31</v>
      </c>
      <c r="K702" s="2" t="s">
        <v>587</v>
      </c>
      <c r="L702" s="2" t="s">
        <v>67</v>
      </c>
      <c r="AD702" s="33" t="str">
        <f t="shared" si="34"/>
        <v>Tuesday</v>
      </c>
    </row>
    <row r="703" spans="1:30" x14ac:dyDescent="0.2">
      <c r="A703" s="23">
        <v>41112</v>
      </c>
      <c r="B703" s="2" t="s">
        <v>36</v>
      </c>
      <c r="C703" t="s">
        <v>95</v>
      </c>
      <c r="D703" t="s">
        <v>207</v>
      </c>
      <c r="E703" s="2">
        <v>45841</v>
      </c>
      <c r="F703" s="2" cm="1">
        <f t="array" ref="F703">_xlfn.IFS(B703="Owner Surrender",E703,B703="Stray",E703+6,B703="Stray w/identification",E703+11,B703="Bite",E703+10,B703="Other",E703+30,B703="BAS",E703+56,B703="Seized",E703)</f>
        <v>45841</v>
      </c>
      <c r="G703" s="2">
        <v>45843</v>
      </c>
      <c r="H703" s="5">
        <f t="shared" si="37"/>
        <v>2</v>
      </c>
      <c r="I703" s="5">
        <f t="shared" si="38"/>
        <v>2</v>
      </c>
      <c r="J703" s="2" t="s">
        <v>18</v>
      </c>
      <c r="K703" s="2" t="s">
        <v>586</v>
      </c>
      <c r="L703" s="2" t="s">
        <v>96</v>
      </c>
      <c r="M703" s="2" t="s">
        <v>97</v>
      </c>
      <c r="AD703" s="33" t="str">
        <f t="shared" si="34"/>
        <v>Saturday</v>
      </c>
    </row>
    <row r="704" spans="1:30" x14ac:dyDescent="0.2">
      <c r="A704" s="23">
        <v>41113</v>
      </c>
      <c r="B704" s="2" t="s">
        <v>179</v>
      </c>
      <c r="C704" t="s">
        <v>125</v>
      </c>
      <c r="D704" t="s">
        <v>208</v>
      </c>
      <c r="E704" s="2">
        <v>45841</v>
      </c>
      <c r="F704" s="2" cm="1">
        <f t="array" ref="F704">_xlfn.IFS(B704="Owner Surrender",E704,B704="Stray",E704+6,B704="Stray w/identification",E704+11,B704="Bite",E704+10,B704="Other",E704+30,B704="BAS",E704+56,B704="Seized",E704)</f>
        <v>45852</v>
      </c>
      <c r="G704" s="2">
        <v>45861</v>
      </c>
      <c r="H704" s="5">
        <f t="shared" si="37"/>
        <v>20</v>
      </c>
      <c r="I704" s="5">
        <f t="shared" si="38"/>
        <v>9</v>
      </c>
      <c r="J704" s="2" t="s">
        <v>31</v>
      </c>
      <c r="K704" s="2" t="s">
        <v>587</v>
      </c>
      <c r="AD704" s="33" t="str">
        <f t="shared" si="34"/>
        <v>Wednesday</v>
      </c>
    </row>
    <row r="705" spans="1:30" x14ac:dyDescent="0.2">
      <c r="A705" s="23">
        <v>41114</v>
      </c>
      <c r="B705" s="2" t="s">
        <v>36</v>
      </c>
      <c r="C705" t="s">
        <v>48</v>
      </c>
      <c r="D705" t="s">
        <v>207</v>
      </c>
      <c r="E705" s="2">
        <v>45841</v>
      </c>
      <c r="F705" s="2" cm="1">
        <f t="array" ref="F705">_xlfn.IFS(B705="Owner Surrender",E705,B705="Stray",E705+6,B705="Stray w/identification",E705+11,B705="Bite",E705+10,B705="Other",E705+30,B705="BAS",E705+56,B705="Seized",E705)</f>
        <v>45841</v>
      </c>
      <c r="G705" s="2">
        <v>45841</v>
      </c>
      <c r="H705" s="5">
        <f t="shared" si="37"/>
        <v>0</v>
      </c>
      <c r="I705" s="5">
        <f t="shared" si="38"/>
        <v>0</v>
      </c>
      <c r="J705" s="2" t="s">
        <v>18</v>
      </c>
      <c r="K705" s="2" t="s">
        <v>586</v>
      </c>
      <c r="L705" s="2" t="s">
        <v>93</v>
      </c>
      <c r="M705" s="2" t="s">
        <v>94</v>
      </c>
      <c r="AD705" s="33" t="str">
        <f t="shared" si="34"/>
        <v>Thursday</v>
      </c>
    </row>
    <row r="706" spans="1:30" x14ac:dyDescent="0.2">
      <c r="A706" s="23">
        <v>41117</v>
      </c>
      <c r="B706" s="2" t="s">
        <v>38</v>
      </c>
      <c r="C706" t="s">
        <v>89</v>
      </c>
      <c r="D706" t="s">
        <v>207</v>
      </c>
      <c r="E706" s="2">
        <v>45841</v>
      </c>
      <c r="F706" s="2" cm="1">
        <f t="array" ref="F706">_xlfn.IFS(B706="Owner Surrender",E706,B706="Stray",E706+6,B706="Stray w/identification",E706+11,B706="Bite",E706+10,B706="Other",E706+30,B706="BAS",E706+56,B706="Seized",E706)</f>
        <v>45847</v>
      </c>
      <c r="G706" s="2">
        <v>45849</v>
      </c>
      <c r="H706" s="5">
        <f t="shared" si="37"/>
        <v>8</v>
      </c>
      <c r="I706" s="5">
        <f t="shared" si="38"/>
        <v>2</v>
      </c>
      <c r="J706" s="2" t="s">
        <v>18</v>
      </c>
      <c r="K706" s="2" t="s">
        <v>586</v>
      </c>
      <c r="M706" t="s">
        <v>19</v>
      </c>
      <c r="AD706" s="33" t="str">
        <f t="shared" si="34"/>
        <v>Friday</v>
      </c>
    </row>
    <row r="707" spans="1:30" x14ac:dyDescent="0.2">
      <c r="A707" s="23">
        <v>41118</v>
      </c>
      <c r="B707" s="2" t="s">
        <v>38</v>
      </c>
      <c r="C707" t="s">
        <v>89</v>
      </c>
      <c r="D707" t="s">
        <v>207</v>
      </c>
      <c r="E707" s="2">
        <v>45841</v>
      </c>
      <c r="F707" s="2" cm="1">
        <f t="array" ref="F707">_xlfn.IFS(B707="Owner Surrender",E707,B707="Stray",E707+6,B707="Stray w/identification",E707+11,B707="Bite",E707+10,B707="Other",E707+30,B707="BAS",E707+56,B707="Seized",E707)</f>
        <v>45847</v>
      </c>
      <c r="G707" s="2">
        <v>45849</v>
      </c>
      <c r="H707" s="5">
        <f t="shared" si="37"/>
        <v>8</v>
      </c>
      <c r="I707" s="5">
        <f t="shared" si="38"/>
        <v>2</v>
      </c>
      <c r="J707" s="2" t="s">
        <v>18</v>
      </c>
      <c r="K707" s="2" t="s">
        <v>586</v>
      </c>
      <c r="M707" t="s">
        <v>19</v>
      </c>
      <c r="AD707" s="33" t="str">
        <f t="shared" si="34"/>
        <v>Friday</v>
      </c>
    </row>
    <row r="708" spans="1:30" x14ac:dyDescent="0.2">
      <c r="A708" s="23">
        <v>41123</v>
      </c>
      <c r="B708" s="2" t="s">
        <v>36</v>
      </c>
      <c r="C708" t="s">
        <v>129</v>
      </c>
      <c r="D708" t="s">
        <v>207</v>
      </c>
      <c r="E708" s="2">
        <v>45843</v>
      </c>
      <c r="F708" s="2" cm="1">
        <f t="array" ref="F708">_xlfn.IFS(B708="Owner Surrender",E708,B708="Stray",E708+6,B708="Stray w/identification",E708+11,B708="Bite",E708+10,B708="Other",E708+30,B708="BAS",E708+56,B708="Seized",E708)</f>
        <v>45843</v>
      </c>
      <c r="G708" s="2">
        <v>45848</v>
      </c>
      <c r="H708" s="5">
        <f t="shared" si="37"/>
        <v>5</v>
      </c>
      <c r="I708" s="5">
        <f t="shared" si="38"/>
        <v>5</v>
      </c>
      <c r="J708" s="2" t="s">
        <v>31</v>
      </c>
      <c r="K708" s="2" t="s">
        <v>587</v>
      </c>
      <c r="AD708" s="33" t="str">
        <f t="shared" ref="AD708:AD771" si="39">TEXT(G708,"DDDD")</f>
        <v>Thursday</v>
      </c>
    </row>
    <row r="709" spans="1:30" x14ac:dyDescent="0.2">
      <c r="A709" s="23">
        <v>41126</v>
      </c>
      <c r="B709" s="2" t="s">
        <v>36</v>
      </c>
      <c r="C709" t="s">
        <v>54</v>
      </c>
      <c r="D709" t="s">
        <v>207</v>
      </c>
      <c r="E709" s="2">
        <v>45843</v>
      </c>
      <c r="F709" s="2" cm="1">
        <f t="array" ref="F709">_xlfn.IFS(B709="Owner Surrender",E709,B709="Stray",E709+6,B709="Stray w/identification",E709+11,B709="Bite",E709+10,B709="Other",E709+30,B709="BAS",E709+56,B709="Seized",E709)</f>
        <v>45843</v>
      </c>
      <c r="G709" s="2">
        <v>45853</v>
      </c>
      <c r="H709" s="5">
        <f t="shared" si="37"/>
        <v>10</v>
      </c>
      <c r="I709" s="5">
        <f t="shared" si="38"/>
        <v>10</v>
      </c>
      <c r="J709" s="2" t="s">
        <v>11</v>
      </c>
      <c r="K709" s="2" t="s">
        <v>586</v>
      </c>
      <c r="AD709" s="33" t="str">
        <f t="shared" si="39"/>
        <v>Tuesday</v>
      </c>
    </row>
    <row r="710" spans="1:30" x14ac:dyDescent="0.2">
      <c r="A710" s="23">
        <v>41128</v>
      </c>
      <c r="B710" s="2" t="s">
        <v>41</v>
      </c>
      <c r="C710" t="s">
        <v>48</v>
      </c>
      <c r="D710" t="s">
        <v>207</v>
      </c>
      <c r="E710" s="2">
        <v>45844</v>
      </c>
      <c r="F710" s="2" cm="1">
        <f t="array" ref="F710">_xlfn.IFS(B710="Owner Surrender",E710,B710="Stray",E710+6,B710="Stray w/identification",E710+11,B710="Bite",E710+10,B710="Other",E710+30,B710="BAS",E710+56,B710="Seized",E710)</f>
        <v>45854</v>
      </c>
      <c r="G710" s="2">
        <v>45854</v>
      </c>
      <c r="H710" s="5">
        <f t="shared" si="37"/>
        <v>10</v>
      </c>
      <c r="I710" s="5">
        <f t="shared" si="38"/>
        <v>0</v>
      </c>
      <c r="J710" s="2" t="s">
        <v>8</v>
      </c>
      <c r="K710" s="2" t="s">
        <v>586</v>
      </c>
      <c r="AD710" s="33" t="str">
        <f t="shared" si="39"/>
        <v>Wednesday</v>
      </c>
    </row>
    <row r="711" spans="1:30" x14ac:dyDescent="0.2">
      <c r="A711" s="23">
        <v>41130</v>
      </c>
      <c r="B711" s="2" t="s">
        <v>179</v>
      </c>
      <c r="C711" t="s">
        <v>107</v>
      </c>
      <c r="D711" t="s">
        <v>207</v>
      </c>
      <c r="E711" s="2">
        <v>45844</v>
      </c>
      <c r="F711" s="2" cm="1">
        <f t="array" ref="F711">_xlfn.IFS(B711="Owner Surrender",E711,B711="Stray",E711+6,B711="Stray w/identification",E711+11,B711="Bite",E711+10,B711="Other",E711+30,B711="BAS",E711+56,B711="Seized",E711)</f>
        <v>45855</v>
      </c>
      <c r="G711" s="2">
        <v>45849</v>
      </c>
      <c r="H711" s="5">
        <f t="shared" si="37"/>
        <v>5</v>
      </c>
      <c r="I711" s="5">
        <f t="shared" si="38"/>
        <v>-6</v>
      </c>
      <c r="J711" s="2" t="s">
        <v>8</v>
      </c>
      <c r="K711" s="2" t="s">
        <v>586</v>
      </c>
      <c r="AD711" s="33" t="str">
        <f t="shared" si="39"/>
        <v>Friday</v>
      </c>
    </row>
    <row r="712" spans="1:30" x14ac:dyDescent="0.2">
      <c r="A712" s="23">
        <v>41131</v>
      </c>
      <c r="B712" s="2" t="s">
        <v>41</v>
      </c>
      <c r="C712" t="s">
        <v>83</v>
      </c>
      <c r="D712" t="s">
        <v>207</v>
      </c>
      <c r="E712" s="2">
        <v>45845</v>
      </c>
      <c r="F712" s="2" cm="1">
        <f t="array" ref="F712">_xlfn.IFS(B712="Owner Surrender",E712,B712="Stray",E712+6,B712="Stray w/identification",E712+11,B712="Bite",E712+10,B712="Other",E712+30,B712="BAS",E712+56,B712="Seized",E712)</f>
        <v>45855</v>
      </c>
      <c r="G712" s="2">
        <v>45881</v>
      </c>
      <c r="H712" s="5">
        <f t="shared" si="37"/>
        <v>36</v>
      </c>
      <c r="I712" s="5">
        <f t="shared" si="38"/>
        <v>26</v>
      </c>
      <c r="J712" s="2" t="s">
        <v>8</v>
      </c>
      <c r="K712" s="2" t="s">
        <v>586</v>
      </c>
      <c r="AD712" s="33" t="str">
        <f t="shared" si="39"/>
        <v>Tuesday</v>
      </c>
    </row>
    <row r="713" spans="1:30" x14ac:dyDescent="0.2">
      <c r="A713" s="23">
        <v>41136</v>
      </c>
      <c r="B713" s="2" t="s">
        <v>179</v>
      </c>
      <c r="C713" t="s">
        <v>48</v>
      </c>
      <c r="D713" t="s">
        <v>207</v>
      </c>
      <c r="E713" s="2">
        <v>45845</v>
      </c>
      <c r="F713" s="2" cm="1">
        <f t="array" ref="F713">_xlfn.IFS(B713="Owner Surrender",E713,B713="Stray",E713+6,B713="Stray w/identification",E713+11,B713="Bite",E713+10,B713="Other",E713+30,B713="BAS",E713+56,B713="Seized",E713)</f>
        <v>45856</v>
      </c>
      <c r="G713" s="2">
        <v>45852</v>
      </c>
      <c r="H713" s="5">
        <f t="shared" si="37"/>
        <v>7</v>
      </c>
      <c r="I713" s="5">
        <f t="shared" si="38"/>
        <v>-4</v>
      </c>
      <c r="J713" s="2" t="s">
        <v>31</v>
      </c>
      <c r="K713" s="2" t="s">
        <v>587</v>
      </c>
      <c r="M713" t="s">
        <v>194</v>
      </c>
      <c r="AD713" s="33" t="str">
        <f t="shared" si="39"/>
        <v>Monday</v>
      </c>
    </row>
    <row r="714" spans="1:30" x14ac:dyDescent="0.2">
      <c r="A714" s="23">
        <v>41139</v>
      </c>
      <c r="B714" s="2" t="s">
        <v>38</v>
      </c>
      <c r="C714" t="s">
        <v>48</v>
      </c>
      <c r="D714" t="s">
        <v>207</v>
      </c>
      <c r="E714" s="2">
        <v>45845</v>
      </c>
      <c r="F714" s="2" cm="1">
        <f t="array" ref="F714">_xlfn.IFS(B714="Owner Surrender",E714,B714="Stray",E714+6,B714="Stray w/identification",E714+11,B714="Bite",E714+10,B714="Other",E714+30,B714="BAS",E714+56,B714="Seized",E714)</f>
        <v>45851</v>
      </c>
      <c r="G714" s="2">
        <v>45852</v>
      </c>
      <c r="H714" s="5">
        <f t="shared" si="37"/>
        <v>7</v>
      </c>
      <c r="I714" s="5">
        <f t="shared" si="38"/>
        <v>1</v>
      </c>
      <c r="J714" s="2" t="s">
        <v>31</v>
      </c>
      <c r="K714" s="2" t="s">
        <v>587</v>
      </c>
      <c r="AD714" s="33" t="str">
        <f t="shared" si="39"/>
        <v>Monday</v>
      </c>
    </row>
    <row r="715" spans="1:30" x14ac:dyDescent="0.2">
      <c r="A715" s="23">
        <v>41140</v>
      </c>
      <c r="B715" s="2" t="s">
        <v>38</v>
      </c>
      <c r="C715" t="s">
        <v>49</v>
      </c>
      <c r="D715" t="s">
        <v>207</v>
      </c>
      <c r="E715" s="2">
        <v>45845</v>
      </c>
      <c r="F715" s="2" cm="1">
        <f t="array" ref="F715">_xlfn.IFS(B715="Owner Surrender",E715,B715="Stray",E715+6,B715="Stray w/identification",E715+11,B715="Bite",E715+10,B715="Other",E715+30,B715="BAS",E715+56,B715="Seized",E715)</f>
        <v>45851</v>
      </c>
      <c r="G715" s="2">
        <v>45852</v>
      </c>
      <c r="H715" s="5">
        <f t="shared" si="37"/>
        <v>7</v>
      </c>
      <c r="I715" s="5">
        <f t="shared" si="38"/>
        <v>1</v>
      </c>
      <c r="J715" s="2" t="s">
        <v>31</v>
      </c>
      <c r="K715" s="2" t="s">
        <v>587</v>
      </c>
      <c r="AD715" s="33" t="str">
        <f t="shared" si="39"/>
        <v>Monday</v>
      </c>
    </row>
    <row r="716" spans="1:30" x14ac:dyDescent="0.2">
      <c r="A716" s="23">
        <v>41141</v>
      </c>
      <c r="B716" s="2" t="s">
        <v>38</v>
      </c>
      <c r="C716" t="s">
        <v>48</v>
      </c>
      <c r="D716" t="s">
        <v>208</v>
      </c>
      <c r="E716" s="2">
        <v>45845</v>
      </c>
      <c r="F716" s="2" cm="1">
        <f t="array" ref="F716">_xlfn.IFS(B716="Owner Surrender",E716,B716="Stray",E716+6,B716="Stray w/identification",E716+11,B716="Bite",E716+10,B716="Other",E716+30,B716="BAS",E716+56,B716="Seized",E716)</f>
        <v>45851</v>
      </c>
      <c r="G716" s="2">
        <v>45846</v>
      </c>
      <c r="H716" s="5">
        <f t="shared" si="37"/>
        <v>1</v>
      </c>
      <c r="I716" s="5">
        <f t="shared" si="38"/>
        <v>-5</v>
      </c>
      <c r="J716" s="2" t="s">
        <v>31</v>
      </c>
      <c r="K716" s="2" t="s">
        <v>588</v>
      </c>
      <c r="M716" t="s">
        <v>66</v>
      </c>
      <c r="AD716" s="33" t="str">
        <f t="shared" si="39"/>
        <v>Tuesday</v>
      </c>
    </row>
    <row r="717" spans="1:30" x14ac:dyDescent="0.2">
      <c r="A717" s="23">
        <v>41142</v>
      </c>
      <c r="B717" s="2" t="s">
        <v>38</v>
      </c>
      <c r="C717" t="s">
        <v>48</v>
      </c>
      <c r="D717" t="s">
        <v>208</v>
      </c>
      <c r="E717" s="2">
        <v>45845</v>
      </c>
      <c r="F717" s="2" cm="1">
        <f t="array" ref="F717">_xlfn.IFS(B717="Owner Surrender",E717,B717="Stray",E717+6,B717="Stray w/identification",E717+11,B717="Bite",E717+10,B717="Other",E717+30,B717="BAS",E717+56,B717="Seized",E717)</f>
        <v>45851</v>
      </c>
      <c r="G717" s="2">
        <v>45846</v>
      </c>
      <c r="H717" s="5">
        <f t="shared" si="37"/>
        <v>1</v>
      </c>
      <c r="I717" s="5">
        <f t="shared" si="38"/>
        <v>-5</v>
      </c>
      <c r="J717" s="2" t="s">
        <v>31</v>
      </c>
      <c r="K717" s="2" t="s">
        <v>588</v>
      </c>
      <c r="M717" t="s">
        <v>66</v>
      </c>
      <c r="AD717" s="33" t="str">
        <f t="shared" si="39"/>
        <v>Tuesday</v>
      </c>
    </row>
    <row r="718" spans="1:30" x14ac:dyDescent="0.2">
      <c r="A718" s="23">
        <v>41143</v>
      </c>
      <c r="B718" s="2" t="s">
        <v>38</v>
      </c>
      <c r="C718" t="s">
        <v>48</v>
      </c>
      <c r="D718" t="s">
        <v>208</v>
      </c>
      <c r="E718" s="2">
        <v>45845</v>
      </c>
      <c r="F718" s="2" cm="1">
        <f t="array" ref="F718">_xlfn.IFS(B718="Owner Surrender",E718,B718="Stray",E718+6,B718="Stray w/identification",E718+11,B718="Bite",E718+10,B718="Other",E718+30,B718="BAS",E718+56,B718="Seized",E718)</f>
        <v>45851</v>
      </c>
      <c r="G718" s="2">
        <v>45845</v>
      </c>
      <c r="H718" s="5">
        <f t="shared" si="37"/>
        <v>0</v>
      </c>
      <c r="I718" s="5">
        <f t="shared" si="38"/>
        <v>-6</v>
      </c>
      <c r="J718" s="2" t="s">
        <v>31</v>
      </c>
      <c r="K718" s="2" t="s">
        <v>588</v>
      </c>
      <c r="M718" t="s">
        <v>33</v>
      </c>
      <c r="AD718" s="33" t="str">
        <f t="shared" si="39"/>
        <v>Monday</v>
      </c>
    </row>
    <row r="719" spans="1:30" x14ac:dyDescent="0.2">
      <c r="A719" s="23">
        <v>41144</v>
      </c>
      <c r="B719" s="2" t="s">
        <v>38</v>
      </c>
      <c r="C719" t="s">
        <v>48</v>
      </c>
      <c r="D719" t="s">
        <v>208</v>
      </c>
      <c r="E719" s="2">
        <v>45845</v>
      </c>
      <c r="F719" s="2" cm="1">
        <f t="array" ref="F719">_xlfn.IFS(B719="Owner Surrender",E719,B719="Stray",E719+6,B719="Stray w/identification",E719+11,B719="Bite",E719+10,B719="Other",E719+30,B719="BAS",E719+56,B719="Seized",E719)</f>
        <v>45851</v>
      </c>
      <c r="G719" s="2">
        <v>45846</v>
      </c>
      <c r="H719" s="5">
        <f t="shared" si="37"/>
        <v>1</v>
      </c>
      <c r="I719" s="5">
        <f t="shared" si="38"/>
        <v>-5</v>
      </c>
      <c r="J719" s="2" t="s">
        <v>31</v>
      </c>
      <c r="K719" s="2" t="s">
        <v>588</v>
      </c>
      <c r="M719" t="s">
        <v>66</v>
      </c>
      <c r="AD719" s="33" t="str">
        <f t="shared" si="39"/>
        <v>Tuesday</v>
      </c>
    </row>
    <row r="720" spans="1:30" x14ac:dyDescent="0.2">
      <c r="A720" s="23">
        <v>41145</v>
      </c>
      <c r="B720" s="2" t="s">
        <v>179</v>
      </c>
      <c r="C720" t="s">
        <v>89</v>
      </c>
      <c r="D720" t="s">
        <v>207</v>
      </c>
      <c r="E720" s="2">
        <v>45845</v>
      </c>
      <c r="F720" s="2" cm="1">
        <f t="array" ref="F720">_xlfn.IFS(B720="Owner Surrender",E720,B720="Stray",E720+6,B720="Stray w/identification",E720+11,B720="Bite",E720+10,B720="Other",E720+30,B720="BAS",E720+56,B720="Seized",E720)</f>
        <v>45856</v>
      </c>
      <c r="G720" s="2">
        <v>45848</v>
      </c>
      <c r="H720" s="5">
        <f t="shared" si="37"/>
        <v>3</v>
      </c>
      <c r="I720" s="5">
        <f t="shared" si="38"/>
        <v>-8</v>
      </c>
      <c r="J720" s="2" t="s">
        <v>8</v>
      </c>
      <c r="K720" s="2" t="s">
        <v>586</v>
      </c>
      <c r="AD720" s="33" t="str">
        <f t="shared" si="39"/>
        <v>Thursday</v>
      </c>
    </row>
    <row r="721" spans="1:30" x14ac:dyDescent="0.2">
      <c r="A721" s="23">
        <v>41146</v>
      </c>
      <c r="B721" s="2" t="s">
        <v>60</v>
      </c>
      <c r="C721" t="s">
        <v>56</v>
      </c>
      <c r="D721" t="s">
        <v>207</v>
      </c>
      <c r="E721" s="2">
        <v>45845</v>
      </c>
      <c r="F721" s="2" cm="1">
        <f t="array" ref="F721">_xlfn.IFS(B721="Owner Surrender",E721,B721="Stray",E721+6,B721="Stray w/identification",E721+11,B721="Bite",E721+10,B721="Other",E721+30,B721="BAS",E721+56,B721="Seized",E721)</f>
        <v>45875</v>
      </c>
      <c r="G721" s="2">
        <v>45847</v>
      </c>
      <c r="H721" s="5">
        <f t="shared" si="37"/>
        <v>2</v>
      </c>
      <c r="J721" s="2" t="s">
        <v>8</v>
      </c>
      <c r="K721" s="2" t="s">
        <v>586</v>
      </c>
      <c r="AD721" s="33" t="str">
        <f t="shared" si="39"/>
        <v>Wednesday</v>
      </c>
    </row>
    <row r="722" spans="1:30" x14ac:dyDescent="0.2">
      <c r="A722" s="23">
        <v>41149</v>
      </c>
      <c r="B722" s="2" t="s">
        <v>38</v>
      </c>
      <c r="C722" t="s">
        <v>48</v>
      </c>
      <c r="D722" t="s">
        <v>207</v>
      </c>
      <c r="E722" s="2">
        <v>45844</v>
      </c>
      <c r="F722" s="2" cm="1">
        <f t="array" ref="F722">_xlfn.IFS(B722="Owner Surrender",E722,B722="Stray",E722+6,B722="Stray w/identification",E722+11,B722="Bite",E722+10,B722="Other",E722+30,B722="BAS",E722+56,B722="Seized",E722)</f>
        <v>45850</v>
      </c>
      <c r="G722" s="2">
        <v>45861</v>
      </c>
      <c r="H722" s="5">
        <f t="shared" si="37"/>
        <v>17</v>
      </c>
      <c r="I722" s="5">
        <f>G722-F722</f>
        <v>11</v>
      </c>
      <c r="J722" s="2" t="s">
        <v>31</v>
      </c>
      <c r="K722" s="2" t="s">
        <v>594</v>
      </c>
      <c r="L722" s="2" t="s">
        <v>132</v>
      </c>
      <c r="M722" s="2" t="s">
        <v>133</v>
      </c>
      <c r="AD722" s="33" t="str">
        <f t="shared" si="39"/>
        <v>Wednesday</v>
      </c>
    </row>
    <row r="723" spans="1:30" x14ac:dyDescent="0.2">
      <c r="A723" s="23">
        <v>41150</v>
      </c>
      <c r="B723" s="2" t="s">
        <v>179</v>
      </c>
      <c r="C723" t="s">
        <v>110</v>
      </c>
      <c r="D723" t="s">
        <v>207</v>
      </c>
      <c r="E723" s="2">
        <v>45845</v>
      </c>
      <c r="F723" s="2" cm="1">
        <f t="array" ref="F723">_xlfn.IFS(B723="Owner Surrender",E723,B723="Stray",E723+6,B723="Stray w/identification",E723+11,B723="Bite",E723+10,B723="Other",E723+30,B723="BAS",E723+56,B723="Seized",E723)</f>
        <v>45856</v>
      </c>
      <c r="G723" s="2">
        <v>45859</v>
      </c>
      <c r="H723" s="5">
        <f t="shared" si="37"/>
        <v>14</v>
      </c>
      <c r="I723" s="5">
        <f>G723-F723</f>
        <v>3</v>
      </c>
      <c r="J723" s="2" t="s">
        <v>8</v>
      </c>
      <c r="K723" s="2" t="s">
        <v>586</v>
      </c>
      <c r="AD723" s="33" t="str">
        <f t="shared" si="39"/>
        <v>Monday</v>
      </c>
    </row>
    <row r="724" spans="1:30" x14ac:dyDescent="0.2">
      <c r="A724" s="23">
        <v>41156</v>
      </c>
      <c r="B724" s="2" t="s">
        <v>36</v>
      </c>
      <c r="C724" t="s">
        <v>134</v>
      </c>
      <c r="D724" t="s">
        <v>209</v>
      </c>
      <c r="E724" s="2">
        <v>45846</v>
      </c>
      <c r="F724" s="2" cm="1">
        <f t="array" ref="F724">_xlfn.IFS(B724="Owner Surrender",E724,B724="Stray",E724+6,B724="Stray w/identification",E724+11,B724="Bite",E724+10,B724="Other",E724+30,B724="BAS",E724+56,B724="Seized",E724)</f>
        <v>45846</v>
      </c>
      <c r="G724" s="2">
        <v>45848</v>
      </c>
      <c r="J724" s="2" t="s">
        <v>31</v>
      </c>
      <c r="K724" s="2" t="s">
        <v>587</v>
      </c>
      <c r="L724" s="2" t="s">
        <v>135</v>
      </c>
      <c r="AD724" s="33" t="str">
        <f t="shared" si="39"/>
        <v>Thursday</v>
      </c>
    </row>
    <row r="725" spans="1:30" x14ac:dyDescent="0.2">
      <c r="A725" s="23">
        <v>41157</v>
      </c>
      <c r="B725" s="2" t="s">
        <v>36</v>
      </c>
      <c r="C725" t="s">
        <v>87</v>
      </c>
      <c r="D725" t="s">
        <v>207</v>
      </c>
      <c r="E725" s="2">
        <v>45846</v>
      </c>
      <c r="F725" s="2" cm="1">
        <f t="array" ref="F725">_xlfn.IFS(B725="Owner Surrender",E725,B725="Stray",E725+6,B725="Stray w/identification",E725+11,B725="Bite",E725+10,B725="Other",E725+30,B725="BAS",E725+56,B725="Seized",E725)</f>
        <v>45846</v>
      </c>
      <c r="G725" s="2">
        <v>45848</v>
      </c>
      <c r="H725" s="5">
        <f t="shared" ref="H725:H761" si="40">+G725-E725</f>
        <v>2</v>
      </c>
      <c r="I725" s="5">
        <f t="shared" ref="I725:I752" si="41">G725-F725</f>
        <v>2</v>
      </c>
      <c r="J725" s="2" t="s">
        <v>31</v>
      </c>
      <c r="K725" s="2" t="s">
        <v>587</v>
      </c>
      <c r="L725" s="2" t="s">
        <v>136</v>
      </c>
      <c r="AD725" s="33" t="str">
        <f t="shared" si="39"/>
        <v>Thursday</v>
      </c>
    </row>
    <row r="726" spans="1:30" x14ac:dyDescent="0.2">
      <c r="A726" s="23">
        <v>41159</v>
      </c>
      <c r="B726" s="2" t="s">
        <v>36</v>
      </c>
      <c r="C726" t="s">
        <v>95</v>
      </c>
      <c r="D726" t="s">
        <v>208</v>
      </c>
      <c r="E726" s="2">
        <v>45846</v>
      </c>
      <c r="F726" s="2" cm="1">
        <f t="array" ref="F726">_xlfn.IFS(B726="Owner Surrender",E726,B726="Stray",E726+6,B726="Stray w/identification",E726+11,B726="Bite",E726+10,B726="Other",E726+30,B726="BAS",E726+56,B726="Seized",E726)</f>
        <v>45846</v>
      </c>
      <c r="G726" s="2">
        <v>45882</v>
      </c>
      <c r="H726" s="5">
        <f t="shared" si="40"/>
        <v>36</v>
      </c>
      <c r="I726" s="5">
        <f t="shared" si="41"/>
        <v>36</v>
      </c>
      <c r="J726" s="2" t="s">
        <v>31</v>
      </c>
      <c r="K726" s="2" t="s">
        <v>587</v>
      </c>
      <c r="L726" s="2" t="s">
        <v>137</v>
      </c>
      <c r="AD726" s="33" t="str">
        <f t="shared" si="39"/>
        <v>Wednesday</v>
      </c>
    </row>
    <row r="727" spans="1:30" x14ac:dyDescent="0.2">
      <c r="A727" s="23">
        <v>41165</v>
      </c>
      <c r="B727" s="2" t="s">
        <v>36</v>
      </c>
      <c r="C727" t="s">
        <v>48</v>
      </c>
      <c r="D727" t="s">
        <v>209</v>
      </c>
      <c r="E727" s="2">
        <v>45847</v>
      </c>
      <c r="F727" s="2" cm="1">
        <f t="array" ref="F727">_xlfn.IFS(B727="Owner Surrender",E727,B727="Stray",E727+6,B727="Stray w/identification",E727+11,B727="Bite",E727+10,B727="Other",E727+30,B727="BAS",E727+56,B727="Seized",E727)</f>
        <v>45847</v>
      </c>
      <c r="G727" s="2">
        <v>45849</v>
      </c>
      <c r="H727" s="5">
        <f t="shared" si="40"/>
        <v>2</v>
      </c>
      <c r="I727" s="5">
        <f t="shared" si="41"/>
        <v>2</v>
      </c>
      <c r="J727" s="2" t="s">
        <v>31</v>
      </c>
      <c r="K727" s="2" t="s">
        <v>587</v>
      </c>
      <c r="L727" s="2" t="s">
        <v>138</v>
      </c>
      <c r="AD727" s="33" t="str">
        <f t="shared" si="39"/>
        <v>Friday</v>
      </c>
    </row>
    <row r="728" spans="1:30" x14ac:dyDescent="0.2">
      <c r="A728" s="23">
        <v>41166</v>
      </c>
      <c r="B728" s="2" t="s">
        <v>179</v>
      </c>
      <c r="C728" t="s">
        <v>56</v>
      </c>
      <c r="D728" t="s">
        <v>207</v>
      </c>
      <c r="E728" s="2">
        <v>45847</v>
      </c>
      <c r="F728" s="2" cm="1">
        <f t="array" ref="F728">_xlfn.IFS(B728="Owner Surrender",E728,B728="Stray",E728+6,B728="Stray w/identification",E728+11,B728="Bite",E728+10,B728="Other",E728+30,B728="BAS",E728+56,B728="Seized",E728)</f>
        <v>45858</v>
      </c>
      <c r="G728" s="2">
        <v>45856</v>
      </c>
      <c r="H728" s="5">
        <f t="shared" si="40"/>
        <v>9</v>
      </c>
      <c r="I728" s="5">
        <f t="shared" si="41"/>
        <v>-2</v>
      </c>
      <c r="J728" s="2" t="s">
        <v>31</v>
      </c>
      <c r="K728" s="2" t="s">
        <v>587</v>
      </c>
      <c r="AD728" s="33" t="str">
        <f t="shared" si="39"/>
        <v>Friday</v>
      </c>
    </row>
    <row r="729" spans="1:30" x14ac:dyDescent="0.2">
      <c r="A729" s="23">
        <v>41170</v>
      </c>
      <c r="B729" s="2" t="s">
        <v>36</v>
      </c>
      <c r="C729" t="s">
        <v>48</v>
      </c>
      <c r="D729" t="s">
        <v>207</v>
      </c>
      <c r="E729" s="2">
        <v>45847</v>
      </c>
      <c r="F729" s="2" cm="1">
        <f t="array" ref="F729">_xlfn.IFS(B729="Owner Surrender",E729,B729="Stray",E729+6,B729="Stray w/identification",E729+11,B729="Bite",E729+10,B729="Other",E729+30,B729="BAS",E729+56,B729="Seized",E729)</f>
        <v>45847</v>
      </c>
      <c r="G729" s="2">
        <v>45852</v>
      </c>
      <c r="H729" s="5">
        <f t="shared" si="40"/>
        <v>5</v>
      </c>
      <c r="I729" s="5">
        <f t="shared" si="41"/>
        <v>5</v>
      </c>
      <c r="J729" s="2" t="s">
        <v>31</v>
      </c>
      <c r="K729" s="2" t="s">
        <v>587</v>
      </c>
      <c r="L729" s="2" t="s">
        <v>139</v>
      </c>
      <c r="AD729" s="33" t="str">
        <f t="shared" si="39"/>
        <v>Monday</v>
      </c>
    </row>
    <row r="730" spans="1:30" x14ac:dyDescent="0.2">
      <c r="A730" s="23">
        <v>41171</v>
      </c>
      <c r="B730" s="2" t="s">
        <v>36</v>
      </c>
      <c r="C730" t="s">
        <v>70</v>
      </c>
      <c r="D730" t="s">
        <v>207</v>
      </c>
      <c r="E730" s="2">
        <v>45847</v>
      </c>
      <c r="F730" s="2" cm="1">
        <f t="array" ref="F730">_xlfn.IFS(B730="Owner Surrender",E730,B730="Stray",E730+6,B730="Stray w/identification",E730+11,B730="Bite",E730+10,B730="Other",E730+30,B730="BAS",E730+56,B730="Seized",E730)</f>
        <v>45847</v>
      </c>
      <c r="G730" s="2">
        <v>45852</v>
      </c>
      <c r="H730" s="5">
        <f t="shared" si="40"/>
        <v>5</v>
      </c>
      <c r="I730" s="5">
        <f t="shared" si="41"/>
        <v>5</v>
      </c>
      <c r="J730" s="2" t="s">
        <v>31</v>
      </c>
      <c r="K730" s="2" t="s">
        <v>587</v>
      </c>
      <c r="AD730" s="33" t="str">
        <f t="shared" si="39"/>
        <v>Monday</v>
      </c>
    </row>
    <row r="731" spans="1:30" x14ac:dyDescent="0.2">
      <c r="A731" s="23">
        <v>41173</v>
      </c>
      <c r="B731" s="2" t="s">
        <v>36</v>
      </c>
      <c r="C731" t="s">
        <v>48</v>
      </c>
      <c r="D731" t="s">
        <v>207</v>
      </c>
      <c r="E731" s="2">
        <v>45847</v>
      </c>
      <c r="F731" s="2" cm="1">
        <f t="array" ref="F731">_xlfn.IFS(B731="Owner Surrender",E731,B731="Stray",E731+6,B731="Stray w/identification",E731+11,B731="Bite",E731+10,B731="Other",E731+30,B731="BAS",E731+56,B731="Seized",E731)</f>
        <v>45847</v>
      </c>
      <c r="G731" s="2">
        <v>45861</v>
      </c>
      <c r="H731" s="5">
        <f t="shared" si="40"/>
        <v>14</v>
      </c>
      <c r="I731" s="5">
        <f t="shared" si="41"/>
        <v>14</v>
      </c>
      <c r="J731" s="2" t="s">
        <v>31</v>
      </c>
      <c r="K731" s="2" t="s">
        <v>587</v>
      </c>
      <c r="L731" s="2" t="s">
        <v>140</v>
      </c>
      <c r="AD731" s="33" t="str">
        <f t="shared" si="39"/>
        <v>Wednesday</v>
      </c>
    </row>
    <row r="732" spans="1:30" x14ac:dyDescent="0.2">
      <c r="A732" s="23">
        <v>41174</v>
      </c>
      <c r="B732" s="2" t="s">
        <v>36</v>
      </c>
      <c r="C732" t="s">
        <v>141</v>
      </c>
      <c r="D732" t="s">
        <v>207</v>
      </c>
      <c r="E732" s="2">
        <v>45847</v>
      </c>
      <c r="F732" s="2" cm="1">
        <f t="array" ref="F732">_xlfn.IFS(B732="Owner Surrender",E732,B732="Stray",E732+6,B732="Stray w/identification",E732+11,B732="Bite",E732+10,B732="Other",E732+30,B732="BAS",E732+56,B732="Seized",E732)</f>
        <v>45847</v>
      </c>
      <c r="G732" s="2">
        <v>45852</v>
      </c>
      <c r="H732" s="5">
        <f t="shared" si="40"/>
        <v>5</v>
      </c>
      <c r="I732" s="5">
        <f t="shared" si="41"/>
        <v>5</v>
      </c>
      <c r="J732" s="2" t="s">
        <v>31</v>
      </c>
      <c r="K732" s="2" t="s">
        <v>587</v>
      </c>
      <c r="AD732" s="33" t="str">
        <f t="shared" si="39"/>
        <v>Monday</v>
      </c>
    </row>
    <row r="733" spans="1:30" x14ac:dyDescent="0.2">
      <c r="A733" s="23">
        <v>41175</v>
      </c>
      <c r="B733" s="2" t="s">
        <v>36</v>
      </c>
      <c r="C733" t="s">
        <v>95</v>
      </c>
      <c r="D733" t="s">
        <v>207</v>
      </c>
      <c r="E733" s="2">
        <v>45847</v>
      </c>
      <c r="F733" s="2" cm="1">
        <f t="array" ref="F733">_xlfn.IFS(B733="Owner Surrender",E733,B733="Stray",E733+6,B733="Stray w/identification",E733+11,B733="Bite",E733+10,B733="Other",E733+30,B733="BAS",E733+56,B733="Seized",E733)</f>
        <v>45847</v>
      </c>
      <c r="G733" s="2">
        <v>45852</v>
      </c>
      <c r="H733" s="5">
        <f t="shared" si="40"/>
        <v>5</v>
      </c>
      <c r="I733" s="5">
        <f t="shared" si="41"/>
        <v>5</v>
      </c>
      <c r="J733" s="2" t="s">
        <v>31</v>
      </c>
      <c r="K733" s="2" t="s">
        <v>587</v>
      </c>
      <c r="AD733" s="33" t="str">
        <f t="shared" si="39"/>
        <v>Monday</v>
      </c>
    </row>
    <row r="734" spans="1:30" x14ac:dyDescent="0.2">
      <c r="A734" s="23">
        <v>41176</v>
      </c>
      <c r="B734" s="2" t="s">
        <v>36</v>
      </c>
      <c r="C734" t="s">
        <v>78</v>
      </c>
      <c r="D734" t="s">
        <v>207</v>
      </c>
      <c r="E734" s="2">
        <v>45847</v>
      </c>
      <c r="F734" s="2" cm="1">
        <f t="array" ref="F734">_xlfn.IFS(B734="Owner Surrender",E734,B734="Stray",E734+6,B734="Stray w/identification",E734+11,B734="Bite",E734+10,B734="Other",E734+30,B734="BAS",E734+56,B734="Seized",E734)</f>
        <v>45847</v>
      </c>
      <c r="G734" s="2">
        <v>45852</v>
      </c>
      <c r="H734" s="5">
        <f t="shared" si="40"/>
        <v>5</v>
      </c>
      <c r="I734" s="5">
        <f t="shared" si="41"/>
        <v>5</v>
      </c>
      <c r="J734" s="2" t="s">
        <v>31</v>
      </c>
      <c r="K734" s="2" t="s">
        <v>587</v>
      </c>
      <c r="AD734" s="33" t="str">
        <f t="shared" si="39"/>
        <v>Monday</v>
      </c>
    </row>
    <row r="735" spans="1:30" x14ac:dyDescent="0.2">
      <c r="A735" s="23">
        <v>41178</v>
      </c>
      <c r="B735" s="2" t="s">
        <v>38</v>
      </c>
      <c r="C735" t="s">
        <v>55</v>
      </c>
      <c r="D735" t="s">
        <v>207</v>
      </c>
      <c r="E735" s="2">
        <v>45847</v>
      </c>
      <c r="F735" s="2" cm="1">
        <f t="array" ref="F735">_xlfn.IFS(B735="Owner Surrender",E735,B735="Stray",E735+6,B735="Stray w/identification",E735+11,B735="Bite",E735+10,B735="Other",E735+30,B735="BAS",E735+56,B735="Seized",E735)</f>
        <v>45853</v>
      </c>
      <c r="G735" s="2">
        <v>45848</v>
      </c>
      <c r="H735" s="5">
        <f t="shared" si="40"/>
        <v>1</v>
      </c>
      <c r="I735" s="5">
        <f t="shared" si="41"/>
        <v>-5</v>
      </c>
      <c r="J735" s="2" t="s">
        <v>8</v>
      </c>
      <c r="K735" s="2" t="s">
        <v>586</v>
      </c>
      <c r="AD735" s="33" t="str">
        <f t="shared" si="39"/>
        <v>Thursday</v>
      </c>
    </row>
    <row r="736" spans="1:30" x14ac:dyDescent="0.2">
      <c r="A736" s="23">
        <v>41185</v>
      </c>
      <c r="B736" s="2" t="s">
        <v>36</v>
      </c>
      <c r="C736" t="s">
        <v>50</v>
      </c>
      <c r="D736" t="s">
        <v>207</v>
      </c>
      <c r="E736" s="2">
        <v>45848</v>
      </c>
      <c r="F736" s="2" cm="1">
        <f t="array" ref="F736">_xlfn.IFS(B736="Owner Surrender",E736,B736="Stray",E736+6,B736="Stray w/identification",E736+11,B736="Bite",E736+10,B736="Other",E736+30,B736="BAS",E736+56,B736="Seized",E736)</f>
        <v>45848</v>
      </c>
      <c r="G736" s="2">
        <v>45861</v>
      </c>
      <c r="H736" s="5">
        <f t="shared" si="40"/>
        <v>13</v>
      </c>
      <c r="I736" s="5">
        <f t="shared" si="41"/>
        <v>13</v>
      </c>
      <c r="J736" s="2" t="s">
        <v>11</v>
      </c>
      <c r="K736" s="2" t="s">
        <v>586</v>
      </c>
      <c r="AD736" s="33" t="str">
        <f t="shared" si="39"/>
        <v>Wednesday</v>
      </c>
    </row>
    <row r="737" spans="1:30" x14ac:dyDescent="0.2">
      <c r="A737" s="23">
        <v>41187</v>
      </c>
      <c r="B737" s="2" t="s">
        <v>36</v>
      </c>
      <c r="C737" t="s">
        <v>48</v>
      </c>
      <c r="D737" t="s">
        <v>208</v>
      </c>
      <c r="E737" s="2">
        <v>45848</v>
      </c>
      <c r="F737" s="2" cm="1">
        <f t="array" ref="F737">_xlfn.IFS(B737="Owner Surrender",E737,B737="Stray",E737+6,B737="Stray w/identification",E737+11,B737="Bite",E737+10,B737="Other",E737+30,B737="BAS",E737+56,B737="Seized",E737)</f>
        <v>45848</v>
      </c>
      <c r="G737" s="2">
        <v>45848</v>
      </c>
      <c r="H737" s="5">
        <f t="shared" si="40"/>
        <v>0</v>
      </c>
      <c r="I737" s="5">
        <f t="shared" si="41"/>
        <v>0</v>
      </c>
      <c r="J737" s="2" t="s">
        <v>31</v>
      </c>
      <c r="K737" s="2" t="s">
        <v>588</v>
      </c>
      <c r="M737" t="s">
        <v>33</v>
      </c>
      <c r="AD737" s="33" t="str">
        <f t="shared" si="39"/>
        <v>Thursday</v>
      </c>
    </row>
    <row r="738" spans="1:30" x14ac:dyDescent="0.2">
      <c r="A738" s="23">
        <v>41188</v>
      </c>
      <c r="B738" s="2" t="s">
        <v>36</v>
      </c>
      <c r="C738" t="s">
        <v>48</v>
      </c>
      <c r="D738" t="s">
        <v>208</v>
      </c>
      <c r="E738" s="2">
        <v>45848</v>
      </c>
      <c r="F738" s="2" cm="1">
        <f t="array" ref="F738">_xlfn.IFS(B738="Owner Surrender",E738,B738="Stray",E738+6,B738="Stray w/identification",E738+11,B738="Bite",E738+10,B738="Other",E738+30,B738="BAS",E738+56,B738="Seized",E738)</f>
        <v>45848</v>
      </c>
      <c r="G738" s="2">
        <v>45848</v>
      </c>
      <c r="H738" s="5">
        <f t="shared" si="40"/>
        <v>0</v>
      </c>
      <c r="I738" s="5">
        <f t="shared" si="41"/>
        <v>0</v>
      </c>
      <c r="J738" s="2" t="s">
        <v>31</v>
      </c>
      <c r="K738" s="2" t="s">
        <v>588</v>
      </c>
      <c r="M738" t="s">
        <v>33</v>
      </c>
      <c r="AD738" s="33" t="str">
        <f t="shared" si="39"/>
        <v>Thursday</v>
      </c>
    </row>
    <row r="739" spans="1:30" x14ac:dyDescent="0.2">
      <c r="A739" s="23">
        <v>41189</v>
      </c>
      <c r="B739" s="2" t="s">
        <v>36</v>
      </c>
      <c r="C739" t="s">
        <v>48</v>
      </c>
      <c r="D739" t="s">
        <v>208</v>
      </c>
      <c r="E739" s="2">
        <v>45848</v>
      </c>
      <c r="F739" s="2" cm="1">
        <f t="array" ref="F739">_xlfn.IFS(B739="Owner Surrender",E739,B739="Stray",E739+6,B739="Stray w/identification",E739+11,B739="Bite",E739+10,B739="Other",E739+30,B739="BAS",E739+56,B739="Seized",E739)</f>
        <v>45848</v>
      </c>
      <c r="G739" s="2">
        <v>45848</v>
      </c>
      <c r="H739" s="5">
        <f t="shared" si="40"/>
        <v>0</v>
      </c>
      <c r="I739" s="5">
        <f t="shared" si="41"/>
        <v>0</v>
      </c>
      <c r="J739" s="2" t="s">
        <v>31</v>
      </c>
      <c r="K739" s="2" t="s">
        <v>588</v>
      </c>
      <c r="M739" t="s">
        <v>33</v>
      </c>
      <c r="AD739" s="33" t="str">
        <f t="shared" si="39"/>
        <v>Thursday</v>
      </c>
    </row>
    <row r="740" spans="1:30" x14ac:dyDescent="0.2">
      <c r="A740" s="23">
        <v>41190</v>
      </c>
      <c r="B740" s="2" t="s">
        <v>52</v>
      </c>
      <c r="C740" t="s">
        <v>142</v>
      </c>
      <c r="D740" t="s">
        <v>207</v>
      </c>
      <c r="E740" s="2">
        <v>45849</v>
      </c>
      <c r="F740" s="2" cm="1">
        <f t="array" ref="F740">_xlfn.IFS(B740="Owner Surrender",E740,B740="Stray",E740+6,B740="Stray w/identification",E740+11,B740="Bite",E740+10,B740="Other",E740+30,B740="BAS",E740+56,B740="Seized",E740)</f>
        <v>45849</v>
      </c>
      <c r="G740" s="2">
        <v>45874</v>
      </c>
      <c r="H740" s="5">
        <f t="shared" si="40"/>
        <v>25</v>
      </c>
      <c r="I740" s="5">
        <f t="shared" si="41"/>
        <v>25</v>
      </c>
      <c r="J740" s="2" t="s">
        <v>31</v>
      </c>
      <c r="K740" s="2" t="s">
        <v>588</v>
      </c>
      <c r="M740" t="s">
        <v>66</v>
      </c>
      <c r="AD740" s="33" t="str">
        <f t="shared" si="39"/>
        <v>Tuesday</v>
      </c>
    </row>
    <row r="741" spans="1:30" x14ac:dyDescent="0.2">
      <c r="A741" s="23">
        <v>41191</v>
      </c>
      <c r="B741" s="2" t="s">
        <v>52</v>
      </c>
      <c r="C741" t="s">
        <v>72</v>
      </c>
      <c r="D741" t="s">
        <v>207</v>
      </c>
      <c r="E741" s="2">
        <v>45849</v>
      </c>
      <c r="F741" s="2" cm="1">
        <f t="array" ref="F741">_xlfn.IFS(B741="Owner Surrender",E741,B741="Stray",E741+6,B741="Stray w/identification",E741+11,B741="Bite",E741+10,B741="Other",E741+30,B741="BAS",E741+56,B741="Seized",E741)</f>
        <v>45849</v>
      </c>
      <c r="G741" s="2">
        <v>45852</v>
      </c>
      <c r="H741" s="5">
        <f t="shared" si="40"/>
        <v>3</v>
      </c>
      <c r="I741" s="5">
        <f t="shared" si="41"/>
        <v>3</v>
      </c>
      <c r="J741" s="2" t="s">
        <v>31</v>
      </c>
      <c r="K741" s="2" t="s">
        <v>587</v>
      </c>
      <c r="AD741" s="33" t="str">
        <f t="shared" si="39"/>
        <v>Monday</v>
      </c>
    </row>
    <row r="742" spans="1:30" x14ac:dyDescent="0.2">
      <c r="A742" s="23">
        <v>41192</v>
      </c>
      <c r="B742" s="2" t="s">
        <v>52</v>
      </c>
      <c r="C742" t="s">
        <v>48</v>
      </c>
      <c r="D742" t="s">
        <v>207</v>
      </c>
      <c r="E742" s="2">
        <v>45849</v>
      </c>
      <c r="F742" s="2" cm="1">
        <f t="array" ref="F742">_xlfn.IFS(B742="Owner Surrender",E742,B742="Stray",E742+6,B742="Stray w/identification",E742+11,B742="Bite",E742+10,B742="Other",E742+30,B742="BAS",E742+56,B742="Seized",E742)</f>
        <v>45849</v>
      </c>
      <c r="G742" s="2">
        <v>45852</v>
      </c>
      <c r="H742" s="5">
        <f t="shared" si="40"/>
        <v>3</v>
      </c>
      <c r="I742" s="5">
        <f t="shared" si="41"/>
        <v>3</v>
      </c>
      <c r="J742" s="2" t="s">
        <v>31</v>
      </c>
      <c r="K742" s="2" t="s">
        <v>587</v>
      </c>
      <c r="AD742" s="33" t="str">
        <f t="shared" si="39"/>
        <v>Monday</v>
      </c>
    </row>
    <row r="743" spans="1:30" x14ac:dyDescent="0.2">
      <c r="A743" s="23">
        <v>41201</v>
      </c>
      <c r="B743" s="2" t="s">
        <v>36</v>
      </c>
      <c r="C743" t="s">
        <v>88</v>
      </c>
      <c r="D743" t="s">
        <v>209</v>
      </c>
      <c r="E743" s="2">
        <v>45849</v>
      </c>
      <c r="F743" s="2" cm="1">
        <f t="array" ref="F743">_xlfn.IFS(B743="Owner Surrender",E743,B743="Stray",E743+6,B743="Stray w/identification",E743+11,B743="Bite",E743+10,B743="Other",E743+30,B743="BAS",E743+56,B743="Seized",E743)</f>
        <v>45849</v>
      </c>
      <c r="G743" s="2">
        <v>45859</v>
      </c>
      <c r="H743" s="5">
        <f t="shared" si="40"/>
        <v>10</v>
      </c>
      <c r="I743" s="5">
        <f t="shared" si="41"/>
        <v>10</v>
      </c>
      <c r="J743" s="2" t="s">
        <v>18</v>
      </c>
      <c r="K743" s="2" t="s">
        <v>586</v>
      </c>
      <c r="M743" t="s">
        <v>84</v>
      </c>
      <c r="AD743" s="33" t="str">
        <f t="shared" si="39"/>
        <v>Monday</v>
      </c>
    </row>
    <row r="744" spans="1:30" x14ac:dyDescent="0.2">
      <c r="A744" s="23">
        <v>41202</v>
      </c>
      <c r="B744" s="2" t="s">
        <v>36</v>
      </c>
      <c r="C744" t="s">
        <v>71</v>
      </c>
      <c r="D744" t="s">
        <v>210</v>
      </c>
      <c r="E744" s="2">
        <v>45849</v>
      </c>
      <c r="F744" s="2" cm="1">
        <f t="array" ref="F744">_xlfn.IFS(B744="Owner Surrender",E744,B744="Stray",E744+6,B744="Stray w/identification",E744+11,B744="Bite",E744+10,B744="Other",E744+30,B744="BAS",E744+56,B744="Seized",E744)</f>
        <v>45849</v>
      </c>
      <c r="G744" s="2">
        <v>45851</v>
      </c>
      <c r="H744" s="5">
        <f t="shared" si="40"/>
        <v>2</v>
      </c>
      <c r="I744" s="5">
        <f t="shared" si="41"/>
        <v>2</v>
      </c>
      <c r="J744" s="2" t="s">
        <v>31</v>
      </c>
      <c r="K744" s="2" t="s">
        <v>587</v>
      </c>
      <c r="AD744" s="33" t="str">
        <f t="shared" si="39"/>
        <v>Sunday</v>
      </c>
    </row>
    <row r="745" spans="1:30" x14ac:dyDescent="0.2">
      <c r="A745" s="23">
        <v>41207</v>
      </c>
      <c r="B745" s="2" t="s">
        <v>38</v>
      </c>
      <c r="C745" t="s">
        <v>144</v>
      </c>
      <c r="D745" t="s">
        <v>207</v>
      </c>
      <c r="E745" s="2">
        <v>45849</v>
      </c>
      <c r="F745" s="2" cm="1">
        <f t="array" ref="F745">_xlfn.IFS(B745="Owner Surrender",E745,B745="Stray",E745+6,B745="Stray w/identification",E745+11,B745="Bite",E745+10,B745="Other",E745+30,B745="BAS",E745+56,B745="Seized",E745)</f>
        <v>45855</v>
      </c>
      <c r="G745" s="2">
        <v>45856</v>
      </c>
      <c r="H745" s="5">
        <f t="shared" si="40"/>
        <v>7</v>
      </c>
      <c r="I745" s="5">
        <f t="shared" si="41"/>
        <v>1</v>
      </c>
      <c r="J745" s="2" t="s">
        <v>31</v>
      </c>
      <c r="K745" s="2" t="s">
        <v>587</v>
      </c>
      <c r="AD745" s="33" t="str">
        <f t="shared" si="39"/>
        <v>Friday</v>
      </c>
    </row>
    <row r="746" spans="1:30" x14ac:dyDescent="0.2">
      <c r="A746" s="23">
        <v>41210</v>
      </c>
      <c r="B746" s="2" t="s">
        <v>179</v>
      </c>
      <c r="C746" t="s">
        <v>59</v>
      </c>
      <c r="D746" t="s">
        <v>207</v>
      </c>
      <c r="E746" s="2">
        <v>45851</v>
      </c>
      <c r="F746" s="2" cm="1">
        <f t="array" ref="F746">_xlfn.IFS(B746="Owner Surrender",E746,B746="Stray",E746+6,B746="Stray w/identification",E746+11,B746="Bite",E746+10,B746="Other",E746+30,B746="BAS",E746+56,B746="Seized",E746)</f>
        <v>45862</v>
      </c>
      <c r="G746" s="2">
        <v>45863</v>
      </c>
      <c r="H746" s="5">
        <f t="shared" si="40"/>
        <v>12</v>
      </c>
      <c r="I746" s="5">
        <f t="shared" si="41"/>
        <v>1</v>
      </c>
      <c r="J746" s="2" t="s">
        <v>11</v>
      </c>
      <c r="K746" s="2" t="s">
        <v>586</v>
      </c>
      <c r="AD746" s="33" t="str">
        <f t="shared" si="39"/>
        <v>Friday</v>
      </c>
    </row>
    <row r="747" spans="1:30" x14ac:dyDescent="0.2">
      <c r="A747" s="23">
        <v>41214</v>
      </c>
      <c r="B747" s="2" t="s">
        <v>179</v>
      </c>
      <c r="C747" t="s">
        <v>49</v>
      </c>
      <c r="D747" t="s">
        <v>209</v>
      </c>
      <c r="E747" s="2">
        <v>45852</v>
      </c>
      <c r="F747" s="2" cm="1">
        <f t="array" ref="F747">_xlfn.IFS(B747="Owner Surrender",E747,B747="Stray",E747+6,B747="Stray w/identification",E747+11,B747="Bite",E747+10,B747="Other",E747+30,B747="BAS",E747+56,B747="Seized",E747)</f>
        <v>45863</v>
      </c>
      <c r="G747" s="2">
        <v>45866</v>
      </c>
      <c r="H747" s="5">
        <f t="shared" si="40"/>
        <v>14</v>
      </c>
      <c r="I747" s="5">
        <f t="shared" si="41"/>
        <v>3</v>
      </c>
      <c r="J747" s="2" t="s">
        <v>11</v>
      </c>
      <c r="K747" s="2" t="s">
        <v>586</v>
      </c>
      <c r="AD747" s="33" t="str">
        <f t="shared" si="39"/>
        <v>Monday</v>
      </c>
    </row>
    <row r="748" spans="1:30" x14ac:dyDescent="0.2">
      <c r="A748" s="23">
        <v>41215</v>
      </c>
      <c r="B748" s="2" t="s">
        <v>179</v>
      </c>
      <c r="C748" t="s">
        <v>48</v>
      </c>
      <c r="D748" t="s">
        <v>207</v>
      </c>
      <c r="E748" s="2">
        <v>45851</v>
      </c>
      <c r="F748" s="2" cm="1">
        <f t="array" ref="F748">_xlfn.IFS(B748="Owner Surrender",E748,B748="Stray",E748+6,B748="Stray w/identification",E748+11,B748="Bite",E748+10,B748="Other",E748+30,B748="BAS",E748+56,B748="Seized",E748)</f>
        <v>45862</v>
      </c>
      <c r="G748" s="2">
        <v>45868</v>
      </c>
      <c r="H748" s="5">
        <f t="shared" si="40"/>
        <v>17</v>
      </c>
      <c r="I748" s="5">
        <f t="shared" si="41"/>
        <v>6</v>
      </c>
      <c r="J748" s="2" t="s">
        <v>31</v>
      </c>
      <c r="K748" s="2" t="s">
        <v>587</v>
      </c>
      <c r="M748" t="s">
        <v>195</v>
      </c>
      <c r="AD748" s="33" t="str">
        <f t="shared" si="39"/>
        <v>Wednesday</v>
      </c>
    </row>
    <row r="749" spans="1:30" x14ac:dyDescent="0.2">
      <c r="A749" s="23">
        <v>41216</v>
      </c>
      <c r="B749" s="2" t="s">
        <v>38</v>
      </c>
      <c r="C749" t="s">
        <v>48</v>
      </c>
      <c r="D749" t="s">
        <v>207</v>
      </c>
      <c r="E749" s="2">
        <v>45852</v>
      </c>
      <c r="F749" s="2" cm="1">
        <f t="array" ref="F749">_xlfn.IFS(B749="Owner Surrender",E749,B749="Stray",E749+6,B749="Stray w/identification",E749+11,B749="Bite",E749+10,B749="Other",E749+30,B749="BAS",E749+56,B749="Seized",E749)</f>
        <v>45858</v>
      </c>
      <c r="G749" s="2">
        <v>45853</v>
      </c>
      <c r="H749" s="5">
        <f t="shared" si="40"/>
        <v>1</v>
      </c>
      <c r="I749" s="5">
        <f t="shared" si="41"/>
        <v>-5</v>
      </c>
      <c r="J749" s="2" t="s">
        <v>18</v>
      </c>
      <c r="K749" s="2" t="s">
        <v>586</v>
      </c>
      <c r="M749" s="2" t="s">
        <v>92</v>
      </c>
      <c r="AD749" s="33" t="str">
        <f t="shared" si="39"/>
        <v>Tuesday</v>
      </c>
    </row>
    <row r="750" spans="1:30" x14ac:dyDescent="0.2">
      <c r="A750" s="23">
        <v>41217</v>
      </c>
      <c r="B750" s="2" t="s">
        <v>41</v>
      </c>
      <c r="C750" t="s">
        <v>49</v>
      </c>
      <c r="D750" t="s">
        <v>207</v>
      </c>
      <c r="E750" s="2">
        <v>45851</v>
      </c>
      <c r="F750" s="2" cm="1">
        <f t="array" ref="F750">_xlfn.IFS(B750="Owner Surrender",E750,B750="Stray",E750+6,B750="Stray w/identification",E750+11,B750="Bite",E750+10,B750="Other",E750+30,B750="BAS",E750+56,B750="Seized",E750)</f>
        <v>45861</v>
      </c>
      <c r="G750" s="2">
        <v>45862</v>
      </c>
      <c r="H750" s="5">
        <f t="shared" si="40"/>
        <v>11</v>
      </c>
      <c r="I750" s="5">
        <f t="shared" si="41"/>
        <v>1</v>
      </c>
      <c r="J750" s="2" t="s">
        <v>31</v>
      </c>
      <c r="K750" s="2" t="s">
        <v>587</v>
      </c>
      <c r="AD750" s="33" t="str">
        <f t="shared" si="39"/>
        <v>Thursday</v>
      </c>
    </row>
    <row r="751" spans="1:30" x14ac:dyDescent="0.2">
      <c r="A751" s="23">
        <v>41218</v>
      </c>
      <c r="B751" s="2" t="s">
        <v>41</v>
      </c>
      <c r="C751" t="s">
        <v>49</v>
      </c>
      <c r="D751" t="s">
        <v>207</v>
      </c>
      <c r="E751" s="2">
        <v>45851</v>
      </c>
      <c r="F751" s="2" cm="1">
        <f t="array" ref="F751">_xlfn.IFS(B751="Owner Surrender",E751,B751="Stray",E751+6,B751="Stray w/identification",E751+11,B751="Bite",E751+10,B751="Other",E751+30,B751="BAS",E751+56,B751="Seized",E751)</f>
        <v>45861</v>
      </c>
      <c r="G751" s="2">
        <v>45862</v>
      </c>
      <c r="H751" s="5">
        <f t="shared" si="40"/>
        <v>11</v>
      </c>
      <c r="I751" s="5">
        <f t="shared" si="41"/>
        <v>1</v>
      </c>
      <c r="J751" s="2" t="s">
        <v>31</v>
      </c>
      <c r="K751" s="2" t="s">
        <v>587</v>
      </c>
      <c r="AD751" s="33" t="str">
        <f t="shared" si="39"/>
        <v>Thursday</v>
      </c>
    </row>
    <row r="752" spans="1:30" x14ac:dyDescent="0.2">
      <c r="A752" s="23">
        <v>41219</v>
      </c>
      <c r="B752" s="2" t="s">
        <v>41</v>
      </c>
      <c r="C752" t="s">
        <v>49</v>
      </c>
      <c r="D752" t="s">
        <v>207</v>
      </c>
      <c r="E752" s="2">
        <v>45851</v>
      </c>
      <c r="F752" s="2" cm="1">
        <f t="array" ref="F752">_xlfn.IFS(B752="Owner Surrender",E752,B752="Stray",E752+6,B752="Stray w/identification",E752+11,B752="Bite",E752+10,B752="Other",E752+30,B752="BAS",E752+56,B752="Seized",E752)</f>
        <v>45861</v>
      </c>
      <c r="G752" s="2">
        <v>45865</v>
      </c>
      <c r="H752" s="5">
        <f t="shared" si="40"/>
        <v>14</v>
      </c>
      <c r="I752" s="5">
        <f t="shared" si="41"/>
        <v>4</v>
      </c>
      <c r="J752" s="2" t="s">
        <v>31</v>
      </c>
      <c r="K752" s="2" t="s">
        <v>587</v>
      </c>
      <c r="AD752" s="33" t="str">
        <f t="shared" si="39"/>
        <v>Sunday</v>
      </c>
    </row>
    <row r="753" spans="1:30" x14ac:dyDescent="0.2">
      <c r="A753" s="23">
        <v>41220</v>
      </c>
      <c r="B753" s="2" t="s">
        <v>60</v>
      </c>
      <c r="C753" t="s">
        <v>49</v>
      </c>
      <c r="D753" t="s">
        <v>207</v>
      </c>
      <c r="E753" s="2">
        <v>45851</v>
      </c>
      <c r="F753" s="2" cm="1">
        <f t="array" ref="F753">_xlfn.IFS(B753="Owner Surrender",E753,B753="Stray",E753+6,B753="Stray w/identification",E753+11,B753="Bite",E753+10,B753="Other",E753+30,B753="BAS",E753+56,B753="Seized",E753)</f>
        <v>45881</v>
      </c>
      <c r="G753" s="2">
        <v>45862</v>
      </c>
      <c r="H753" s="5">
        <f t="shared" si="40"/>
        <v>11</v>
      </c>
      <c r="J753" s="2" t="s">
        <v>31</v>
      </c>
      <c r="K753" s="2" t="s">
        <v>594</v>
      </c>
      <c r="M753" t="s">
        <v>196</v>
      </c>
      <c r="AD753" s="33" t="str">
        <f t="shared" si="39"/>
        <v>Thursday</v>
      </c>
    </row>
    <row r="754" spans="1:30" x14ac:dyDescent="0.2">
      <c r="A754" s="23">
        <v>41221</v>
      </c>
      <c r="B754" s="2" t="s">
        <v>41</v>
      </c>
      <c r="C754" t="s">
        <v>49</v>
      </c>
      <c r="D754" t="s">
        <v>207</v>
      </c>
      <c r="E754" s="2">
        <v>45851</v>
      </c>
      <c r="F754" s="2" cm="1">
        <f t="array" ref="F754">_xlfn.IFS(B754="Owner Surrender",E754,B754="Stray",E754+6,B754="Stray w/identification",E754+11,B754="Bite",E754+10,B754="Other",E754+30,B754="BAS",E754+56,B754="Seized",E754)</f>
        <v>45861</v>
      </c>
      <c r="G754" s="2">
        <v>45862</v>
      </c>
      <c r="H754" s="5">
        <f t="shared" si="40"/>
        <v>11</v>
      </c>
      <c r="I754" s="5">
        <f>G754-F754</f>
        <v>1</v>
      </c>
      <c r="J754" s="2" t="s">
        <v>31</v>
      </c>
      <c r="K754" s="2" t="s">
        <v>587</v>
      </c>
      <c r="AD754" s="33" t="str">
        <f t="shared" si="39"/>
        <v>Thursday</v>
      </c>
    </row>
    <row r="755" spans="1:30" x14ac:dyDescent="0.2">
      <c r="A755" s="23">
        <v>41222</v>
      </c>
      <c r="B755" s="2" t="s">
        <v>41</v>
      </c>
      <c r="C755" t="s">
        <v>49</v>
      </c>
      <c r="D755" t="s">
        <v>207</v>
      </c>
      <c r="E755" s="2">
        <v>45851</v>
      </c>
      <c r="F755" s="2" cm="1">
        <f t="array" ref="F755">_xlfn.IFS(B755="Owner Surrender",E755,B755="Stray",E755+6,B755="Stray w/identification",E755+11,B755="Bite",E755+10,B755="Other",E755+30,B755="BAS",E755+56,B755="Seized",E755)</f>
        <v>45861</v>
      </c>
      <c r="G755" s="2">
        <v>45862</v>
      </c>
      <c r="H755" s="5">
        <f t="shared" si="40"/>
        <v>11</v>
      </c>
      <c r="I755" s="5">
        <f>G755-F755</f>
        <v>1</v>
      </c>
      <c r="J755" s="2" t="s">
        <v>31</v>
      </c>
      <c r="K755" s="2" t="s">
        <v>587</v>
      </c>
      <c r="AD755" s="33" t="str">
        <f t="shared" si="39"/>
        <v>Thursday</v>
      </c>
    </row>
    <row r="756" spans="1:30" x14ac:dyDescent="0.2">
      <c r="A756" s="23">
        <v>41223</v>
      </c>
      <c r="B756" s="2" t="s">
        <v>60</v>
      </c>
      <c r="C756" t="s">
        <v>49</v>
      </c>
      <c r="D756" t="s">
        <v>208</v>
      </c>
      <c r="E756" s="2">
        <v>45851</v>
      </c>
      <c r="F756" s="2" cm="1">
        <f t="array" ref="F756">_xlfn.IFS(B756="Owner Surrender",E756,B756="Stray",E756+6,B756="Stray w/identification",E756+11,B756="Bite",E756+10,B756="Other",E756+30,B756="BAS",E756+56,B756="Seized",E756)</f>
        <v>45881</v>
      </c>
      <c r="G756" s="2">
        <v>45874</v>
      </c>
      <c r="H756" s="5">
        <f t="shared" si="40"/>
        <v>23</v>
      </c>
      <c r="J756" s="2" t="s">
        <v>31</v>
      </c>
      <c r="K756" s="2" t="s">
        <v>587</v>
      </c>
      <c r="AD756" s="33" t="str">
        <f t="shared" si="39"/>
        <v>Tuesday</v>
      </c>
    </row>
    <row r="757" spans="1:30" x14ac:dyDescent="0.2">
      <c r="A757" s="23">
        <v>41224</v>
      </c>
      <c r="B757" s="2" t="s">
        <v>60</v>
      </c>
      <c r="C757" t="s">
        <v>49</v>
      </c>
      <c r="D757" t="s">
        <v>208</v>
      </c>
      <c r="E757" s="2">
        <v>45851</v>
      </c>
      <c r="F757" s="2" cm="1">
        <f t="array" ref="F757">_xlfn.IFS(B757="Owner Surrender",E757,B757="Stray",E757+6,B757="Stray w/identification",E757+11,B757="Bite",E757+10,B757="Other",E757+30,B757="BAS",E757+56,B757="Seized",E757)</f>
        <v>45881</v>
      </c>
      <c r="G757" s="2">
        <v>45882</v>
      </c>
      <c r="H757" s="5">
        <f t="shared" si="40"/>
        <v>31</v>
      </c>
      <c r="J757" s="2" t="s">
        <v>31</v>
      </c>
      <c r="K757" s="2" t="s">
        <v>587</v>
      </c>
      <c r="AD757" s="33" t="str">
        <f t="shared" si="39"/>
        <v>Wednesday</v>
      </c>
    </row>
    <row r="758" spans="1:30" x14ac:dyDescent="0.2">
      <c r="A758" s="23">
        <v>41225</v>
      </c>
      <c r="B758" s="2" t="s">
        <v>60</v>
      </c>
      <c r="C758" t="s">
        <v>49</v>
      </c>
      <c r="D758" t="s">
        <v>208</v>
      </c>
      <c r="E758" s="2">
        <v>45851</v>
      </c>
      <c r="F758" s="2" cm="1">
        <f t="array" ref="F758">_xlfn.IFS(B758="Owner Surrender",E758,B758="Stray",E758+6,B758="Stray w/identification",E758+11,B758="Bite",E758+10,B758="Other",E758+30,B758="BAS",E758+56,B758="Seized",E758)</f>
        <v>45881</v>
      </c>
      <c r="G758" s="2">
        <v>45882</v>
      </c>
      <c r="H758" s="5">
        <f t="shared" si="40"/>
        <v>31</v>
      </c>
      <c r="J758" s="2" t="s">
        <v>31</v>
      </c>
      <c r="K758" s="2" t="s">
        <v>587</v>
      </c>
      <c r="AD758" s="33" t="str">
        <f t="shared" si="39"/>
        <v>Wednesday</v>
      </c>
    </row>
    <row r="759" spans="1:30" x14ac:dyDescent="0.2">
      <c r="A759" s="23">
        <v>41226</v>
      </c>
      <c r="B759" s="2" t="s">
        <v>60</v>
      </c>
      <c r="C759" t="s">
        <v>106</v>
      </c>
      <c r="D759" t="s">
        <v>207</v>
      </c>
      <c r="E759" s="2">
        <v>45851</v>
      </c>
      <c r="F759" s="2" cm="1">
        <f t="array" ref="F759">_xlfn.IFS(B759="Owner Surrender",E759,B759="Stray",E759+6,B759="Stray w/identification",E759+11,B759="Bite",E759+10,B759="Other",E759+30,B759="BAS",E759+56,B759="Seized",E759)</f>
        <v>45881</v>
      </c>
      <c r="G759" s="2">
        <v>45863</v>
      </c>
      <c r="H759" s="5">
        <f t="shared" si="40"/>
        <v>12</v>
      </c>
      <c r="J759" s="2" t="s">
        <v>8</v>
      </c>
      <c r="K759" s="2" t="s">
        <v>586</v>
      </c>
      <c r="AD759" s="33" t="str">
        <f t="shared" si="39"/>
        <v>Friday</v>
      </c>
    </row>
    <row r="760" spans="1:30" x14ac:dyDescent="0.2">
      <c r="A760" s="23">
        <v>41227</v>
      </c>
      <c r="B760" s="2" t="s">
        <v>41</v>
      </c>
      <c r="C760" t="s">
        <v>49</v>
      </c>
      <c r="D760" t="s">
        <v>207</v>
      </c>
      <c r="E760" s="2">
        <v>45851</v>
      </c>
      <c r="F760" s="2" cm="1">
        <f t="array" ref="F760">_xlfn.IFS(B760="Owner Surrender",E760,B760="Stray",E760+6,B760="Stray w/identification",E760+11,B760="Bite",E760+10,B760="Other",E760+30,B760="BAS",E760+56,B760="Seized",E760)</f>
        <v>45861</v>
      </c>
      <c r="G760" s="2">
        <v>45861</v>
      </c>
      <c r="H760" s="5">
        <f t="shared" si="40"/>
        <v>10</v>
      </c>
      <c r="I760" s="5">
        <f>G760-F760</f>
        <v>0</v>
      </c>
      <c r="J760" s="2" t="s">
        <v>31</v>
      </c>
      <c r="K760" s="2" t="s">
        <v>588</v>
      </c>
      <c r="M760" t="s">
        <v>63</v>
      </c>
      <c r="AD760" s="33" t="str">
        <f t="shared" si="39"/>
        <v>Wednesday</v>
      </c>
    </row>
    <row r="761" spans="1:30" x14ac:dyDescent="0.2">
      <c r="A761" s="23">
        <v>41228</v>
      </c>
      <c r="B761" s="2" t="s">
        <v>60</v>
      </c>
      <c r="C761" t="s">
        <v>49</v>
      </c>
      <c r="D761" t="s">
        <v>207</v>
      </c>
      <c r="E761" s="2">
        <v>45851</v>
      </c>
      <c r="F761" s="2" cm="1">
        <f t="array" ref="F761">_xlfn.IFS(B761="Owner Surrender",E761,B761="Stray",E761+6,B761="Stray w/identification",E761+11,B761="Bite",E761+10,B761="Other",E761+30,B761="BAS",E761+56,B761="Seized",E761)</f>
        <v>45881</v>
      </c>
      <c r="G761" s="2">
        <v>45863</v>
      </c>
      <c r="H761" s="5">
        <f t="shared" si="40"/>
        <v>12</v>
      </c>
      <c r="J761" s="2" t="s">
        <v>8</v>
      </c>
      <c r="K761" s="2" t="s">
        <v>586</v>
      </c>
      <c r="AD761" s="33" t="str">
        <f t="shared" si="39"/>
        <v>Friday</v>
      </c>
    </row>
    <row r="762" spans="1:30" x14ac:dyDescent="0.2">
      <c r="A762" s="23">
        <v>41229</v>
      </c>
      <c r="B762" s="2" t="s">
        <v>38</v>
      </c>
      <c r="C762" t="s">
        <v>78</v>
      </c>
      <c r="D762" t="s">
        <v>207</v>
      </c>
      <c r="E762" s="2">
        <v>45853</v>
      </c>
      <c r="F762" s="2" cm="1">
        <f t="array" ref="F762">_xlfn.IFS(B762="Owner Surrender",E762,B762="Stray",E762+6,B762="Stray w/identification",E762+11,B762="Bite",E762+10,B762="Other",E762+30,B762="BAS",E762+56,B762="Seized",E762)</f>
        <v>45859</v>
      </c>
      <c r="G762" s="2">
        <v>45860</v>
      </c>
      <c r="J762" s="2" t="s">
        <v>31</v>
      </c>
      <c r="K762" s="2" t="s">
        <v>587</v>
      </c>
      <c r="AD762" s="33" t="str">
        <f t="shared" si="39"/>
        <v>Tuesday</v>
      </c>
    </row>
    <row r="763" spans="1:30" x14ac:dyDescent="0.2">
      <c r="A763" s="23">
        <v>41230</v>
      </c>
      <c r="B763" s="2" t="s">
        <v>38</v>
      </c>
      <c r="C763" t="s">
        <v>148</v>
      </c>
      <c r="D763" t="s">
        <v>208</v>
      </c>
      <c r="E763" s="2">
        <v>45853</v>
      </c>
      <c r="F763" s="2" cm="1">
        <f t="array" ref="F763">_xlfn.IFS(B763="Owner Surrender",E763,B763="Stray",E763+6,B763="Stray w/identification",E763+11,B763="Bite",E763+10,B763="Other",E763+30,B763="BAS",E763+56,B763="Seized",E763)</f>
        <v>45859</v>
      </c>
      <c r="G763" s="2">
        <v>45882</v>
      </c>
      <c r="H763" s="5">
        <f t="shared" ref="H763:H769" si="42">+G763-E763</f>
        <v>29</v>
      </c>
      <c r="I763" s="5">
        <f t="shared" ref="I763:I769" si="43">G763-F763</f>
        <v>23</v>
      </c>
      <c r="J763" s="2" t="s">
        <v>31</v>
      </c>
      <c r="K763" s="2" t="s">
        <v>587</v>
      </c>
      <c r="AD763" s="33" t="str">
        <f t="shared" si="39"/>
        <v>Wednesday</v>
      </c>
    </row>
    <row r="764" spans="1:30" x14ac:dyDescent="0.2">
      <c r="A764" s="23">
        <v>41232</v>
      </c>
      <c r="B764" s="2" t="s">
        <v>36</v>
      </c>
      <c r="C764" t="s">
        <v>80</v>
      </c>
      <c r="D764" t="s">
        <v>207</v>
      </c>
      <c r="E764" s="2">
        <v>45853</v>
      </c>
      <c r="F764" s="2" cm="1">
        <f t="array" ref="F764">_xlfn.IFS(B764="Owner Surrender",E764,B764="Stray",E764+6,B764="Stray w/identification",E764+11,B764="Bite",E764+10,B764="Other",E764+30,B764="BAS",E764+56,B764="Seized",E764)</f>
        <v>45853</v>
      </c>
      <c r="G764" s="2">
        <v>45871</v>
      </c>
      <c r="H764" s="5">
        <f t="shared" si="42"/>
        <v>18</v>
      </c>
      <c r="I764" s="5">
        <f t="shared" si="43"/>
        <v>18</v>
      </c>
      <c r="J764" s="2" t="s">
        <v>18</v>
      </c>
      <c r="K764" s="2" t="s">
        <v>586</v>
      </c>
      <c r="M764" t="s">
        <v>81</v>
      </c>
      <c r="AD764" s="33" t="str">
        <f t="shared" si="39"/>
        <v>Saturday</v>
      </c>
    </row>
    <row r="765" spans="1:30" x14ac:dyDescent="0.2">
      <c r="A765" s="23">
        <v>41233</v>
      </c>
      <c r="B765" s="2" t="s">
        <v>36</v>
      </c>
      <c r="C765" t="s">
        <v>48</v>
      </c>
      <c r="D765" t="s">
        <v>209</v>
      </c>
      <c r="E765" s="2">
        <v>45853</v>
      </c>
      <c r="F765" s="2" cm="1">
        <f t="array" ref="F765">_xlfn.IFS(B765="Owner Surrender",E765,B765="Stray",E765+6,B765="Stray w/identification",E765+11,B765="Bite",E765+10,B765="Other",E765+30,B765="BAS",E765+56,B765="Seized",E765)</f>
        <v>45853</v>
      </c>
      <c r="G765" s="2">
        <v>45859</v>
      </c>
      <c r="H765" s="5">
        <f t="shared" si="42"/>
        <v>6</v>
      </c>
      <c r="I765" s="5">
        <f t="shared" si="43"/>
        <v>6</v>
      </c>
      <c r="J765" s="2" t="s">
        <v>18</v>
      </c>
      <c r="K765" s="2" t="s">
        <v>586</v>
      </c>
      <c r="M765" t="s">
        <v>84</v>
      </c>
      <c r="AD765" s="33" t="str">
        <f t="shared" si="39"/>
        <v>Monday</v>
      </c>
    </row>
    <row r="766" spans="1:30" x14ac:dyDescent="0.2">
      <c r="A766" s="23">
        <v>41234</v>
      </c>
      <c r="B766" s="2" t="s">
        <v>36</v>
      </c>
      <c r="C766" t="s">
        <v>48</v>
      </c>
      <c r="D766" t="s">
        <v>207</v>
      </c>
      <c r="E766" s="2">
        <v>45853</v>
      </c>
      <c r="F766" s="2" cm="1">
        <f t="array" ref="F766">_xlfn.IFS(B766="Owner Surrender",E766,B766="Stray",E766+6,B766="Stray w/identification",E766+11,B766="Bite",E766+10,B766="Other",E766+30,B766="BAS",E766+56,B766="Seized",E766)</f>
        <v>45853</v>
      </c>
      <c r="G766" s="2">
        <v>45868</v>
      </c>
      <c r="H766" s="5">
        <f t="shared" si="42"/>
        <v>15</v>
      </c>
      <c r="I766" s="5">
        <f t="shared" si="43"/>
        <v>15</v>
      </c>
      <c r="J766" s="2" t="s">
        <v>31</v>
      </c>
      <c r="K766" s="2" t="s">
        <v>587</v>
      </c>
      <c r="AD766" s="33" t="str">
        <f t="shared" si="39"/>
        <v>Wednesday</v>
      </c>
    </row>
    <row r="767" spans="1:30" x14ac:dyDescent="0.2">
      <c r="A767" s="23">
        <v>41235</v>
      </c>
      <c r="B767" s="2" t="s">
        <v>36</v>
      </c>
      <c r="C767" t="s">
        <v>48</v>
      </c>
      <c r="D767" t="s">
        <v>207</v>
      </c>
      <c r="E767" s="2">
        <v>45853</v>
      </c>
      <c r="F767" s="2" cm="1">
        <f t="array" ref="F767">_xlfn.IFS(B767="Owner Surrender",E767,B767="Stray",E767+6,B767="Stray w/identification",E767+11,B767="Bite",E767+10,B767="Other",E767+30,B767="BAS",E767+56,B767="Seized",E767)</f>
        <v>45853</v>
      </c>
      <c r="G767" s="2">
        <v>45859</v>
      </c>
      <c r="H767" s="5">
        <f t="shared" si="42"/>
        <v>6</v>
      </c>
      <c r="I767" s="5">
        <f t="shared" si="43"/>
        <v>6</v>
      </c>
      <c r="J767" s="2" t="s">
        <v>18</v>
      </c>
      <c r="K767" s="2" t="s">
        <v>586</v>
      </c>
      <c r="M767" t="s">
        <v>84</v>
      </c>
      <c r="AD767" s="33" t="str">
        <f t="shared" si="39"/>
        <v>Monday</v>
      </c>
    </row>
    <row r="768" spans="1:30" x14ac:dyDescent="0.2">
      <c r="A768" s="23">
        <v>41237</v>
      </c>
      <c r="B768" s="2" t="s">
        <v>36</v>
      </c>
      <c r="C768" t="s">
        <v>150</v>
      </c>
      <c r="D768" t="s">
        <v>207</v>
      </c>
      <c r="E768" s="2">
        <v>45853</v>
      </c>
      <c r="F768" s="2" cm="1">
        <f t="array" ref="F768">_xlfn.IFS(B768="Owner Surrender",E768,B768="Stray",E768+6,B768="Stray w/identification",E768+11,B768="Bite",E768+10,B768="Other",E768+30,B768="BAS",E768+56,B768="Seized",E768)</f>
        <v>45853</v>
      </c>
      <c r="G768" s="2">
        <v>45856</v>
      </c>
      <c r="H768" s="5">
        <f t="shared" si="42"/>
        <v>3</v>
      </c>
      <c r="I768" s="5">
        <f t="shared" si="43"/>
        <v>3</v>
      </c>
      <c r="J768" s="2" t="s">
        <v>31</v>
      </c>
      <c r="K768" s="2" t="s">
        <v>587</v>
      </c>
      <c r="L768" s="2" t="s">
        <v>151</v>
      </c>
      <c r="AD768" s="33" t="str">
        <f t="shared" si="39"/>
        <v>Friday</v>
      </c>
    </row>
    <row r="769" spans="1:30" x14ac:dyDescent="0.2">
      <c r="A769" s="23">
        <v>41245</v>
      </c>
      <c r="B769" s="2" t="s">
        <v>38</v>
      </c>
      <c r="C769" t="s">
        <v>49</v>
      </c>
      <c r="D769" t="s">
        <v>207</v>
      </c>
      <c r="E769" s="2">
        <v>45855</v>
      </c>
      <c r="F769" s="2" cm="1">
        <f t="array" ref="F769">_xlfn.IFS(B769="Owner Surrender",E769,B769="Stray",E769+6,B769="Stray w/identification",E769+11,B769="Bite",E769+10,B769="Other",E769+30,B769="BAS",E769+56,B769="Seized",E769)</f>
        <v>45861</v>
      </c>
      <c r="G769" s="2">
        <v>45868</v>
      </c>
      <c r="H769" s="5">
        <f t="shared" si="42"/>
        <v>13</v>
      </c>
      <c r="I769" s="5">
        <f t="shared" si="43"/>
        <v>7</v>
      </c>
      <c r="J769" s="2" t="s">
        <v>31</v>
      </c>
      <c r="K769" s="2" t="s">
        <v>587</v>
      </c>
      <c r="AD769" s="33" t="str">
        <f t="shared" si="39"/>
        <v>Wednesday</v>
      </c>
    </row>
    <row r="770" spans="1:30" x14ac:dyDescent="0.2">
      <c r="A770" s="23">
        <v>41246</v>
      </c>
      <c r="B770" s="2" t="s">
        <v>179</v>
      </c>
      <c r="C770" t="s">
        <v>104</v>
      </c>
      <c r="D770" t="s">
        <v>208</v>
      </c>
      <c r="E770" s="2">
        <v>45854</v>
      </c>
      <c r="F770" s="2" cm="1">
        <f t="array" ref="F770">_xlfn.IFS(B770="Owner Surrender",E770,B770="Stray",E770+6,B770="Stray w/identification",E770+11,B770="Bite",E770+10,B770="Other",E770+30,B770="BAS",E770+56,B770="Seized",E770)</f>
        <v>45865</v>
      </c>
      <c r="J770" s="2" t="s">
        <v>21</v>
      </c>
      <c r="K770" s="2" t="s">
        <v>586</v>
      </c>
      <c r="M770" s="2" t="s">
        <v>197</v>
      </c>
      <c r="AD770" s="33" t="str">
        <f t="shared" si="39"/>
        <v>Saturday</v>
      </c>
    </row>
    <row r="771" spans="1:30" x14ac:dyDescent="0.2">
      <c r="A771" s="23">
        <v>41247</v>
      </c>
      <c r="B771" s="2" t="s">
        <v>179</v>
      </c>
      <c r="C771" t="s">
        <v>49</v>
      </c>
      <c r="D771" t="s">
        <v>209</v>
      </c>
      <c r="E771" s="2">
        <v>45855</v>
      </c>
      <c r="F771" s="2" cm="1">
        <f t="array" ref="F771">_xlfn.IFS(B771="Owner Surrender",E771,B771="Stray",E771+6,B771="Stray w/identification",E771+11,B771="Bite",E771+10,B771="Other",E771+30,B771="BAS",E771+56,B771="Seized",E771)</f>
        <v>45866</v>
      </c>
      <c r="G771" s="2">
        <v>45868</v>
      </c>
      <c r="H771" s="5">
        <f t="shared" ref="H771:H778" si="44">+G771-E771</f>
        <v>13</v>
      </c>
      <c r="I771" s="5">
        <f t="shared" ref="I771:I779" si="45">G771-F771</f>
        <v>2</v>
      </c>
      <c r="J771" s="2" t="s">
        <v>31</v>
      </c>
      <c r="K771" s="2" t="s">
        <v>587</v>
      </c>
      <c r="M771" t="s">
        <v>198</v>
      </c>
      <c r="AD771" s="33" t="str">
        <f t="shared" si="39"/>
        <v>Wednesday</v>
      </c>
    </row>
    <row r="772" spans="1:30" x14ac:dyDescent="0.2">
      <c r="A772" s="23">
        <v>41248</v>
      </c>
      <c r="B772" s="2" t="s">
        <v>38</v>
      </c>
      <c r="C772" t="s">
        <v>49</v>
      </c>
      <c r="D772" t="s">
        <v>209</v>
      </c>
      <c r="E772" s="2">
        <v>45855</v>
      </c>
      <c r="F772" s="2" cm="1">
        <f t="array" ref="F772">_xlfn.IFS(B772="Owner Surrender",E772,B772="Stray",E772+6,B772="Stray w/identification",E772+11,B772="Bite",E772+10,B772="Other",E772+30,B772="BAS",E772+56,B772="Seized",E772)</f>
        <v>45861</v>
      </c>
      <c r="G772" s="2">
        <v>45862</v>
      </c>
      <c r="H772" s="5">
        <f t="shared" si="44"/>
        <v>7</v>
      </c>
      <c r="I772" s="5">
        <f t="shared" si="45"/>
        <v>1</v>
      </c>
      <c r="J772" s="2" t="s">
        <v>11</v>
      </c>
      <c r="K772" s="2" t="s">
        <v>586</v>
      </c>
      <c r="AD772" s="33" t="str">
        <f t="shared" ref="AD772:AD835" si="46">TEXT(G772,"DDDD")</f>
        <v>Thursday</v>
      </c>
    </row>
    <row r="773" spans="1:30" x14ac:dyDescent="0.2">
      <c r="A773" s="23">
        <v>41249</v>
      </c>
      <c r="B773" s="2" t="s">
        <v>38</v>
      </c>
      <c r="C773" t="s">
        <v>139</v>
      </c>
      <c r="D773" t="s">
        <v>207</v>
      </c>
      <c r="E773" s="2">
        <v>45855</v>
      </c>
      <c r="F773" s="2" cm="1">
        <f t="array" ref="F773">_xlfn.IFS(B773="Owner Surrender",E773,B773="Stray",E773+6,B773="Stray w/identification",E773+11,B773="Bite",E773+10,B773="Other",E773+30,B773="BAS",E773+56,B773="Seized",E773)</f>
        <v>45861</v>
      </c>
      <c r="G773" s="2">
        <v>45874</v>
      </c>
      <c r="H773" s="5">
        <f t="shared" si="44"/>
        <v>19</v>
      </c>
      <c r="I773" s="5">
        <f t="shared" si="45"/>
        <v>13</v>
      </c>
      <c r="J773" s="2" t="s">
        <v>31</v>
      </c>
      <c r="K773" s="2" t="s">
        <v>587</v>
      </c>
      <c r="AD773" s="33" t="str">
        <f t="shared" si="46"/>
        <v>Tuesday</v>
      </c>
    </row>
    <row r="774" spans="1:30" x14ac:dyDescent="0.2">
      <c r="A774" s="23">
        <v>41250</v>
      </c>
      <c r="B774" s="2" t="s">
        <v>36</v>
      </c>
      <c r="C774" t="s">
        <v>71</v>
      </c>
      <c r="D774" t="s">
        <v>207</v>
      </c>
      <c r="E774" s="2">
        <v>45855</v>
      </c>
      <c r="F774" s="2" cm="1">
        <f t="array" ref="F774">_xlfn.IFS(B774="Owner Surrender",E774,B774="Stray",E774+6,B774="Stray w/identification",E774+11,B774="Bite",E774+10,B774="Other",E774+30,B774="BAS",E774+56,B774="Seized",E774)</f>
        <v>45855</v>
      </c>
      <c r="G774" s="2">
        <v>45870</v>
      </c>
      <c r="H774" s="5">
        <f t="shared" si="44"/>
        <v>15</v>
      </c>
      <c r="I774" s="5">
        <f t="shared" si="45"/>
        <v>15</v>
      </c>
      <c r="J774" s="2" t="s">
        <v>18</v>
      </c>
      <c r="K774" s="2" t="s">
        <v>586</v>
      </c>
      <c r="L774" s="2" t="s">
        <v>101</v>
      </c>
      <c r="M774" s="2" t="s">
        <v>99</v>
      </c>
      <c r="AD774" s="33" t="str">
        <f t="shared" si="46"/>
        <v>Friday</v>
      </c>
    </row>
    <row r="775" spans="1:30" x14ac:dyDescent="0.2">
      <c r="A775" s="23">
        <v>41251</v>
      </c>
      <c r="B775" s="2" t="s">
        <v>36</v>
      </c>
      <c r="C775" t="s">
        <v>89</v>
      </c>
      <c r="D775" t="s">
        <v>207</v>
      </c>
      <c r="E775" s="2">
        <v>45855</v>
      </c>
      <c r="F775" s="2" cm="1">
        <f t="array" ref="F775">_xlfn.IFS(B775="Owner Surrender",E775,B775="Stray",E775+6,B775="Stray w/identification",E775+11,B775="Bite",E775+10,B775="Other",E775+30,B775="BAS",E775+56,B775="Seized",E775)</f>
        <v>45855</v>
      </c>
      <c r="G775" s="2">
        <v>45861</v>
      </c>
      <c r="H775" s="5">
        <f t="shared" si="44"/>
        <v>6</v>
      </c>
      <c r="I775" s="5">
        <f t="shared" si="45"/>
        <v>6</v>
      </c>
      <c r="J775" s="2" t="s">
        <v>31</v>
      </c>
      <c r="K775" s="2" t="s">
        <v>587</v>
      </c>
      <c r="L775" s="2" t="s">
        <v>153</v>
      </c>
      <c r="AD775" s="33" t="str">
        <f t="shared" si="46"/>
        <v>Wednesday</v>
      </c>
    </row>
    <row r="776" spans="1:30" x14ac:dyDescent="0.2">
      <c r="A776" s="23">
        <v>41268</v>
      </c>
      <c r="B776" s="2" t="s">
        <v>179</v>
      </c>
      <c r="C776" t="s">
        <v>108</v>
      </c>
      <c r="D776" t="s">
        <v>207</v>
      </c>
      <c r="E776" s="2">
        <v>45857</v>
      </c>
      <c r="F776" s="2" cm="1">
        <f t="array" ref="F776">_xlfn.IFS(B776="Owner Surrender",E776,B776="Stray",E776+6,B776="Stray w/identification",E776+11,B776="Bite",E776+10,B776="Other",E776+30,B776="BAS",E776+56,B776="Seized",E776)</f>
        <v>45868</v>
      </c>
      <c r="G776" s="2">
        <v>45874</v>
      </c>
      <c r="H776" s="5">
        <f t="shared" si="44"/>
        <v>17</v>
      </c>
      <c r="I776" s="5">
        <f t="shared" si="45"/>
        <v>6</v>
      </c>
      <c r="J776" s="2" t="s">
        <v>31</v>
      </c>
      <c r="K776" s="2" t="s">
        <v>587</v>
      </c>
      <c r="AD776" s="33" t="str">
        <f t="shared" si="46"/>
        <v>Tuesday</v>
      </c>
    </row>
    <row r="777" spans="1:30" x14ac:dyDescent="0.2">
      <c r="A777" s="23">
        <v>41269</v>
      </c>
      <c r="B777" s="2" t="s">
        <v>38</v>
      </c>
      <c r="C777" t="s">
        <v>48</v>
      </c>
      <c r="D777" t="s">
        <v>209</v>
      </c>
      <c r="E777" s="2">
        <v>45858</v>
      </c>
      <c r="F777" s="2" cm="1">
        <f t="array" ref="F777">_xlfn.IFS(B777="Owner Surrender",E777,B777="Stray",E777+6,B777="Stray w/identification",E777+11,B777="Bite",E777+10,B777="Other",E777+30,B777="BAS",E777+56,B777="Seized",E777)</f>
        <v>45864</v>
      </c>
      <c r="G777" s="2">
        <v>45862</v>
      </c>
      <c r="H777" s="5">
        <f t="shared" si="44"/>
        <v>4</v>
      </c>
      <c r="I777" s="5">
        <f t="shared" si="45"/>
        <v>-2</v>
      </c>
      <c r="J777" s="2" t="s">
        <v>8</v>
      </c>
      <c r="K777" s="2" t="s">
        <v>586</v>
      </c>
      <c r="AD777" s="33" t="str">
        <f t="shared" si="46"/>
        <v>Thursday</v>
      </c>
    </row>
    <row r="778" spans="1:30" x14ac:dyDescent="0.2">
      <c r="A778" s="23">
        <v>41272</v>
      </c>
      <c r="B778" s="2" t="s">
        <v>36</v>
      </c>
      <c r="C778" t="s">
        <v>62</v>
      </c>
      <c r="D778" t="s">
        <v>207</v>
      </c>
      <c r="E778" s="2">
        <v>45859</v>
      </c>
      <c r="F778" s="2" cm="1">
        <f t="array" ref="F778">_xlfn.IFS(B778="Owner Surrender",E778,B778="Stray",E778+6,B778="Stray w/identification",E778+11,B778="Bite",E778+10,B778="Other",E778+30,B778="BAS",E778+56,B778="Seized",E778)</f>
        <v>45859</v>
      </c>
      <c r="G778" s="2">
        <v>45875</v>
      </c>
      <c r="H778" s="5">
        <f t="shared" si="44"/>
        <v>16</v>
      </c>
      <c r="I778" s="5">
        <f t="shared" si="45"/>
        <v>16</v>
      </c>
      <c r="J778" s="2" t="s">
        <v>11</v>
      </c>
      <c r="K778" s="2" t="s">
        <v>586</v>
      </c>
      <c r="AD778" s="33" t="str">
        <f t="shared" si="46"/>
        <v>Wednesday</v>
      </c>
    </row>
    <row r="779" spans="1:30" x14ac:dyDescent="0.2">
      <c r="A779" s="23">
        <v>41273</v>
      </c>
      <c r="B779" s="2" t="s">
        <v>38</v>
      </c>
      <c r="C779" t="s">
        <v>78</v>
      </c>
      <c r="D779" t="s">
        <v>207</v>
      </c>
      <c r="E779" s="2">
        <v>45859</v>
      </c>
      <c r="F779" s="2" cm="1">
        <f t="array" ref="F779">_xlfn.IFS(B779="Owner Surrender",E779,B779="Stray",E779+6,B779="Stray w/identification",E779+11,B779="Bite",E779+10,B779="Other",E779+30,B779="BAS",E779+56,B779="Seized",E779)</f>
        <v>45865</v>
      </c>
      <c r="G779" s="2">
        <v>45877</v>
      </c>
      <c r="I779" s="5">
        <f t="shared" si="45"/>
        <v>12</v>
      </c>
      <c r="J779" s="2" t="s">
        <v>18</v>
      </c>
      <c r="K779" s="2" t="s">
        <v>586</v>
      </c>
      <c r="L779" s="2" t="s">
        <v>100</v>
      </c>
      <c r="M779" s="2" t="s">
        <v>19</v>
      </c>
      <c r="AD779" s="33" t="str">
        <f t="shared" si="46"/>
        <v>Friday</v>
      </c>
    </row>
    <row r="780" spans="1:30" x14ac:dyDescent="0.2">
      <c r="A780" s="23">
        <v>41284</v>
      </c>
      <c r="B780" s="2" t="s">
        <v>60</v>
      </c>
      <c r="C780" t="s">
        <v>49</v>
      </c>
      <c r="D780" t="s">
        <v>207</v>
      </c>
      <c r="E780" s="2">
        <v>45860</v>
      </c>
      <c r="F780" s="2" cm="1">
        <f t="array" ref="F780">_xlfn.IFS(B780="Owner Surrender",E780,B780="Stray",E780+6,B780="Stray w/identification",E780+11,B780="Bite",E780+10,B780="Other",E780+30,B780="BAS",E780+56,B780="Seized",E780)</f>
        <v>45890</v>
      </c>
      <c r="G780" s="2">
        <v>45878</v>
      </c>
      <c r="H780" s="5">
        <f t="shared" ref="H780:H811" si="47">+G780-E780</f>
        <v>18</v>
      </c>
      <c r="J780" s="2" t="s">
        <v>8</v>
      </c>
      <c r="K780" s="2" t="s">
        <v>586</v>
      </c>
      <c r="M780" t="s">
        <v>79</v>
      </c>
      <c r="AD780" s="33" t="str">
        <f t="shared" si="46"/>
        <v>Saturday</v>
      </c>
    </row>
    <row r="781" spans="1:30" x14ac:dyDescent="0.2">
      <c r="A781" s="23">
        <v>41285</v>
      </c>
      <c r="B781" s="2" t="s">
        <v>60</v>
      </c>
      <c r="C781" t="s">
        <v>75</v>
      </c>
      <c r="D781" t="s">
        <v>207</v>
      </c>
      <c r="E781" s="2">
        <v>45860</v>
      </c>
      <c r="F781" s="2" cm="1">
        <f t="array" ref="F781">_xlfn.IFS(B781="Owner Surrender",E781,B781="Stray",E781+6,B781="Stray w/identification",E781+11,B781="Bite",E781+10,B781="Other",E781+30,B781="BAS",E781+56,B781="Seized",E781)</f>
        <v>45890</v>
      </c>
      <c r="G781" s="2">
        <v>45878</v>
      </c>
      <c r="H781" s="5">
        <f t="shared" si="47"/>
        <v>18</v>
      </c>
      <c r="J781" s="2" t="s">
        <v>31</v>
      </c>
      <c r="K781" s="2" t="s">
        <v>587</v>
      </c>
      <c r="M781" t="s">
        <v>79</v>
      </c>
      <c r="AD781" s="33" t="str">
        <f t="shared" si="46"/>
        <v>Saturday</v>
      </c>
    </row>
    <row r="782" spans="1:30" x14ac:dyDescent="0.2">
      <c r="A782" s="23">
        <v>41286</v>
      </c>
      <c r="B782" s="2" t="s">
        <v>60</v>
      </c>
      <c r="C782" t="s">
        <v>49</v>
      </c>
      <c r="D782" t="s">
        <v>207</v>
      </c>
      <c r="E782" s="2">
        <v>45860</v>
      </c>
      <c r="F782" s="2" cm="1">
        <f t="array" ref="F782">_xlfn.IFS(B782="Owner Surrender",E782,B782="Stray",E782+6,B782="Stray w/identification",E782+11,B782="Bite",E782+10,B782="Other",E782+30,B782="BAS",E782+56,B782="Seized",E782)</f>
        <v>45890</v>
      </c>
      <c r="G782" s="2">
        <v>45878</v>
      </c>
      <c r="H782" s="5">
        <f t="shared" si="47"/>
        <v>18</v>
      </c>
      <c r="J782" s="2" t="s">
        <v>8</v>
      </c>
      <c r="K782" s="2" t="s">
        <v>586</v>
      </c>
      <c r="M782" s="2" t="s">
        <v>79</v>
      </c>
      <c r="AD782" s="33" t="str">
        <f t="shared" si="46"/>
        <v>Saturday</v>
      </c>
    </row>
    <row r="783" spans="1:30" x14ac:dyDescent="0.2">
      <c r="A783" s="23">
        <v>41287</v>
      </c>
      <c r="B783" s="2" t="s">
        <v>60</v>
      </c>
      <c r="C783" t="s">
        <v>82</v>
      </c>
      <c r="D783" t="s">
        <v>207</v>
      </c>
      <c r="E783" s="2">
        <v>45860</v>
      </c>
      <c r="F783" s="2" cm="1">
        <f t="array" ref="F783">_xlfn.IFS(B783="Owner Surrender",E783,B783="Stray",E783+6,B783="Stray w/identification",E783+11,B783="Bite",E783+10,B783="Other",E783+30,B783="BAS",E783+56,B783="Seized",E783)</f>
        <v>45890</v>
      </c>
      <c r="G783" s="2">
        <v>45878</v>
      </c>
      <c r="H783" s="5">
        <f t="shared" si="47"/>
        <v>18</v>
      </c>
      <c r="J783" s="2" t="s">
        <v>8</v>
      </c>
      <c r="K783" s="2" t="s">
        <v>586</v>
      </c>
      <c r="M783" t="s">
        <v>79</v>
      </c>
      <c r="AD783" s="33" t="str">
        <f t="shared" si="46"/>
        <v>Saturday</v>
      </c>
    </row>
    <row r="784" spans="1:30" x14ac:dyDescent="0.2">
      <c r="A784" s="23">
        <v>41288</v>
      </c>
      <c r="B784" s="2" t="s">
        <v>60</v>
      </c>
      <c r="C784" t="s">
        <v>82</v>
      </c>
      <c r="D784" t="s">
        <v>207</v>
      </c>
      <c r="E784" s="2">
        <v>45860</v>
      </c>
      <c r="F784" s="2" cm="1">
        <f t="array" ref="F784">_xlfn.IFS(B784="Owner Surrender",E784,B784="Stray",E784+6,B784="Stray w/identification",E784+11,B784="Bite",E784+10,B784="Other",E784+30,B784="BAS",E784+56,B784="Seized",E784)</f>
        <v>45890</v>
      </c>
      <c r="G784" s="2">
        <v>45878</v>
      </c>
      <c r="H784" s="5">
        <f t="shared" si="47"/>
        <v>18</v>
      </c>
      <c r="J784" s="2" t="s">
        <v>8</v>
      </c>
      <c r="K784" s="2" t="s">
        <v>586</v>
      </c>
      <c r="M784" t="s">
        <v>79</v>
      </c>
      <c r="AD784" s="33" t="str">
        <f t="shared" si="46"/>
        <v>Saturday</v>
      </c>
    </row>
    <row r="785" spans="1:30" x14ac:dyDescent="0.2">
      <c r="A785" s="23">
        <v>41290</v>
      </c>
      <c r="B785" s="2" t="s">
        <v>60</v>
      </c>
      <c r="C785" t="s">
        <v>49</v>
      </c>
      <c r="D785" t="s">
        <v>207</v>
      </c>
      <c r="E785" s="2">
        <v>45860</v>
      </c>
      <c r="F785" s="2" cm="1">
        <f t="array" ref="F785">_xlfn.IFS(B785="Owner Surrender",E785,B785="Stray",E785+6,B785="Stray w/identification",E785+11,B785="Bite",E785+10,B785="Other",E785+30,B785="BAS",E785+56,B785="Seized",E785)</f>
        <v>45890</v>
      </c>
      <c r="G785" s="2">
        <v>45874</v>
      </c>
      <c r="H785" s="5">
        <f t="shared" si="47"/>
        <v>14</v>
      </c>
      <c r="J785" s="2" t="s">
        <v>31</v>
      </c>
      <c r="K785" s="2" t="s">
        <v>587</v>
      </c>
      <c r="AD785" s="33" t="str">
        <f t="shared" si="46"/>
        <v>Tuesday</v>
      </c>
    </row>
    <row r="786" spans="1:30" x14ac:dyDescent="0.2">
      <c r="A786" s="23">
        <v>41291</v>
      </c>
      <c r="B786" s="2" t="s">
        <v>60</v>
      </c>
      <c r="C786" t="s">
        <v>49</v>
      </c>
      <c r="D786" t="s">
        <v>208</v>
      </c>
      <c r="E786" s="2">
        <v>45860</v>
      </c>
      <c r="F786" s="2" cm="1">
        <f t="array" ref="F786">_xlfn.IFS(B786="Owner Surrender",E786,B786="Stray",E786+6,B786="Stray w/identification",E786+11,B786="Bite",E786+10,B786="Other",E786+30,B786="BAS",E786+56,B786="Seized",E786)</f>
        <v>45890</v>
      </c>
      <c r="G786" s="2">
        <v>45876</v>
      </c>
      <c r="H786" s="5">
        <f t="shared" si="47"/>
        <v>16</v>
      </c>
      <c r="J786" s="2" t="s">
        <v>11</v>
      </c>
      <c r="K786" s="2" t="s">
        <v>586</v>
      </c>
      <c r="AD786" s="33" t="str">
        <f t="shared" si="46"/>
        <v>Thursday</v>
      </c>
    </row>
    <row r="787" spans="1:30" x14ac:dyDescent="0.2">
      <c r="A787" s="23">
        <v>41292</v>
      </c>
      <c r="B787" s="2" t="s">
        <v>60</v>
      </c>
      <c r="C787" t="s">
        <v>49</v>
      </c>
      <c r="D787" t="s">
        <v>208</v>
      </c>
      <c r="E787" s="2">
        <v>45860</v>
      </c>
      <c r="F787" s="2" cm="1">
        <f t="array" ref="F787">_xlfn.IFS(B787="Owner Surrender",E787,B787="Stray",E787+6,B787="Stray w/identification",E787+11,B787="Bite",E787+10,B787="Other",E787+30,B787="BAS",E787+56,B787="Seized",E787)</f>
        <v>45890</v>
      </c>
      <c r="G787" s="2">
        <v>45874</v>
      </c>
      <c r="H787" s="5">
        <f t="shared" si="47"/>
        <v>14</v>
      </c>
      <c r="J787" s="2" t="s">
        <v>31</v>
      </c>
      <c r="K787" s="2" t="s">
        <v>587</v>
      </c>
      <c r="AD787" s="33" t="str">
        <f t="shared" si="46"/>
        <v>Tuesday</v>
      </c>
    </row>
    <row r="788" spans="1:30" x14ac:dyDescent="0.2">
      <c r="A788" s="23">
        <v>41293</v>
      </c>
      <c r="B788" s="2" t="s">
        <v>60</v>
      </c>
      <c r="C788" t="s">
        <v>49</v>
      </c>
      <c r="D788" t="s">
        <v>208</v>
      </c>
      <c r="E788" s="2">
        <v>45860</v>
      </c>
      <c r="F788" s="2" cm="1">
        <f t="array" ref="F788">_xlfn.IFS(B788="Owner Surrender",E788,B788="Stray",E788+6,B788="Stray w/identification",E788+11,B788="Bite",E788+10,B788="Other",E788+30,B788="BAS",E788+56,B788="Seized",E788)</f>
        <v>45890</v>
      </c>
      <c r="G788" s="2">
        <v>45874</v>
      </c>
      <c r="H788" s="5">
        <f t="shared" si="47"/>
        <v>14</v>
      </c>
      <c r="J788" s="2" t="s">
        <v>31</v>
      </c>
      <c r="K788" s="2" t="s">
        <v>587</v>
      </c>
      <c r="AD788" s="33" t="str">
        <f t="shared" si="46"/>
        <v>Tuesday</v>
      </c>
    </row>
    <row r="789" spans="1:30" x14ac:dyDescent="0.2">
      <c r="A789" s="23">
        <v>41294</v>
      </c>
      <c r="B789" s="2" t="s">
        <v>60</v>
      </c>
      <c r="C789" t="s">
        <v>49</v>
      </c>
      <c r="D789" t="s">
        <v>208</v>
      </c>
      <c r="E789" s="2">
        <v>45860</v>
      </c>
      <c r="F789" s="2" cm="1">
        <f t="array" ref="F789">_xlfn.IFS(B789="Owner Surrender",E789,B789="Stray",E789+6,B789="Stray w/identification",E789+11,B789="Bite",E789+10,B789="Other",E789+30,B789="BAS",E789+56,B789="Seized",E789)</f>
        <v>45890</v>
      </c>
      <c r="G789" s="2">
        <v>45874</v>
      </c>
      <c r="H789" s="5">
        <f t="shared" si="47"/>
        <v>14</v>
      </c>
      <c r="J789" s="2" t="s">
        <v>31</v>
      </c>
      <c r="K789" s="2" t="s">
        <v>587</v>
      </c>
      <c r="AD789" s="33" t="str">
        <f t="shared" si="46"/>
        <v>Tuesday</v>
      </c>
    </row>
    <row r="790" spans="1:30" x14ac:dyDescent="0.2">
      <c r="A790" s="23">
        <v>41295</v>
      </c>
      <c r="B790" s="2" t="s">
        <v>36</v>
      </c>
      <c r="C790" t="s">
        <v>159</v>
      </c>
      <c r="D790" t="s">
        <v>210</v>
      </c>
      <c r="E790" s="2">
        <v>45860</v>
      </c>
      <c r="F790" s="2" cm="1">
        <f t="array" ref="F790">_xlfn.IFS(B790="Owner Surrender",E790,B790="Stray",E790+6,B790="Stray w/identification",E790+11,B790="Bite",E790+10,B790="Other",E790+30,B790="BAS",E790+56,B790="Seized",E790)</f>
        <v>45860</v>
      </c>
      <c r="G790" s="2">
        <v>45861</v>
      </c>
      <c r="H790" s="5">
        <f t="shared" si="47"/>
        <v>1</v>
      </c>
      <c r="I790" s="5">
        <f t="shared" ref="I790:I831" si="48">G790-F790</f>
        <v>1</v>
      </c>
      <c r="J790" s="2" t="s">
        <v>31</v>
      </c>
      <c r="K790" s="2" t="s">
        <v>589</v>
      </c>
      <c r="M790" t="s">
        <v>65</v>
      </c>
      <c r="AD790" s="33" t="str">
        <f t="shared" si="46"/>
        <v>Wednesday</v>
      </c>
    </row>
    <row r="791" spans="1:30" x14ac:dyDescent="0.2">
      <c r="A791" s="23">
        <v>41296</v>
      </c>
      <c r="B791" s="2" t="s">
        <v>36</v>
      </c>
      <c r="C791" t="s">
        <v>160</v>
      </c>
      <c r="D791" t="s">
        <v>207</v>
      </c>
      <c r="E791" s="2">
        <v>45860</v>
      </c>
      <c r="F791" s="2" cm="1">
        <f t="array" ref="F791">_xlfn.IFS(B791="Owner Surrender",E791,B791="Stray",E791+6,B791="Stray w/identification",E791+11,B791="Bite",E791+10,B791="Other",E791+30,B791="BAS",E791+56,B791="Seized",E791)</f>
        <v>45860</v>
      </c>
      <c r="G791" s="2">
        <v>45866</v>
      </c>
      <c r="H791" s="5">
        <f t="shared" si="47"/>
        <v>6</v>
      </c>
      <c r="I791" s="5">
        <f t="shared" si="48"/>
        <v>6</v>
      </c>
      <c r="J791" s="2" t="s">
        <v>31</v>
      </c>
      <c r="K791" s="2" t="s">
        <v>587</v>
      </c>
      <c r="AD791" s="33" t="str">
        <f t="shared" si="46"/>
        <v>Monday</v>
      </c>
    </row>
    <row r="792" spans="1:30" x14ac:dyDescent="0.2">
      <c r="A792" s="23">
        <v>41297</v>
      </c>
      <c r="B792" s="2" t="s">
        <v>36</v>
      </c>
      <c r="C792" t="s">
        <v>160</v>
      </c>
      <c r="D792" t="s">
        <v>207</v>
      </c>
      <c r="E792" s="2">
        <v>45860</v>
      </c>
      <c r="F792" s="2" cm="1">
        <f t="array" ref="F792">_xlfn.IFS(B792="Owner Surrender",E792,B792="Stray",E792+6,B792="Stray w/identification",E792+11,B792="Bite",E792+10,B792="Other",E792+30,B792="BAS",E792+56,B792="Seized",E792)</f>
        <v>45860</v>
      </c>
      <c r="G792" s="2">
        <v>45861</v>
      </c>
      <c r="H792" s="5">
        <f t="shared" si="47"/>
        <v>1</v>
      </c>
      <c r="I792" s="5">
        <f t="shared" si="48"/>
        <v>1</v>
      </c>
      <c r="J792" s="2" t="s">
        <v>31</v>
      </c>
      <c r="K792" s="2" t="s">
        <v>587</v>
      </c>
      <c r="AD792" s="33" t="str">
        <f t="shared" si="46"/>
        <v>Wednesday</v>
      </c>
    </row>
    <row r="793" spans="1:30" x14ac:dyDescent="0.2">
      <c r="A793" s="23">
        <v>41298</v>
      </c>
      <c r="B793" s="2" t="s">
        <v>36</v>
      </c>
      <c r="C793" t="s">
        <v>160</v>
      </c>
      <c r="D793" t="s">
        <v>208</v>
      </c>
      <c r="E793" s="2">
        <v>45860</v>
      </c>
      <c r="F793" s="2" cm="1">
        <f t="array" ref="F793">_xlfn.IFS(B793="Owner Surrender",E793,B793="Stray",E793+6,B793="Stray w/identification",E793+11,B793="Bite",E793+10,B793="Other",E793+30,B793="BAS",E793+56,B793="Seized",E793)</f>
        <v>45860</v>
      </c>
      <c r="G793" s="2">
        <v>45862</v>
      </c>
      <c r="H793" s="5">
        <f t="shared" si="47"/>
        <v>2</v>
      </c>
      <c r="I793" s="5">
        <f t="shared" si="48"/>
        <v>2</v>
      </c>
      <c r="J793" s="2" t="s">
        <v>31</v>
      </c>
      <c r="K793" s="2" t="s">
        <v>587</v>
      </c>
      <c r="AD793" s="33" t="str">
        <f t="shared" si="46"/>
        <v>Thursday</v>
      </c>
    </row>
    <row r="794" spans="1:30" x14ac:dyDescent="0.2">
      <c r="A794" s="23">
        <v>41299</v>
      </c>
      <c r="B794" s="2" t="s">
        <v>36</v>
      </c>
      <c r="C794" t="s">
        <v>160</v>
      </c>
      <c r="D794" t="s">
        <v>208</v>
      </c>
      <c r="E794" s="2">
        <v>45860</v>
      </c>
      <c r="F794" s="2" cm="1">
        <f t="array" ref="F794">_xlfn.IFS(B794="Owner Surrender",E794,B794="Stray",E794+6,B794="Stray w/identification",E794+11,B794="Bite",E794+10,B794="Other",E794+30,B794="BAS",E794+56,B794="Seized",E794)</f>
        <v>45860</v>
      </c>
      <c r="G794" s="2">
        <v>45862</v>
      </c>
      <c r="H794" s="5">
        <f t="shared" si="47"/>
        <v>2</v>
      </c>
      <c r="I794" s="5">
        <f t="shared" si="48"/>
        <v>2</v>
      </c>
      <c r="J794" s="2" t="s">
        <v>31</v>
      </c>
      <c r="K794" s="2" t="s">
        <v>587</v>
      </c>
      <c r="AD794" s="33" t="str">
        <f t="shared" si="46"/>
        <v>Thursday</v>
      </c>
    </row>
    <row r="795" spans="1:30" x14ac:dyDescent="0.2">
      <c r="A795" s="23">
        <v>41300</v>
      </c>
      <c r="B795" s="2" t="s">
        <v>36</v>
      </c>
      <c r="C795" t="s">
        <v>160</v>
      </c>
      <c r="D795" t="s">
        <v>208</v>
      </c>
      <c r="E795" s="2">
        <v>45860</v>
      </c>
      <c r="F795" s="2" cm="1">
        <f t="array" ref="F795">_xlfn.IFS(B795="Owner Surrender",E795,B795="Stray",E795+6,B795="Stray w/identification",E795+11,B795="Bite",E795+10,B795="Other",E795+30,B795="BAS",E795+56,B795="Seized",E795)</f>
        <v>45860</v>
      </c>
      <c r="G795" s="2">
        <v>45862</v>
      </c>
      <c r="H795" s="5">
        <f t="shared" si="47"/>
        <v>2</v>
      </c>
      <c r="I795" s="5">
        <f t="shared" si="48"/>
        <v>2</v>
      </c>
      <c r="J795" s="2" t="s">
        <v>31</v>
      </c>
      <c r="K795" s="2" t="s">
        <v>587</v>
      </c>
      <c r="AD795" s="33" t="str">
        <f t="shared" si="46"/>
        <v>Thursday</v>
      </c>
    </row>
    <row r="796" spans="1:30" x14ac:dyDescent="0.2">
      <c r="A796" s="23">
        <v>41301</v>
      </c>
      <c r="B796" s="2" t="s">
        <v>36</v>
      </c>
      <c r="C796" t="s">
        <v>160</v>
      </c>
      <c r="D796" t="s">
        <v>208</v>
      </c>
      <c r="E796" s="2">
        <v>45860</v>
      </c>
      <c r="F796" s="2" cm="1">
        <f t="array" ref="F796">_xlfn.IFS(B796="Owner Surrender",E796,B796="Stray",E796+6,B796="Stray w/identification",E796+11,B796="Bite",E796+10,B796="Other",E796+30,B796="BAS",E796+56,B796="Seized",E796)</f>
        <v>45860</v>
      </c>
      <c r="G796" s="2">
        <v>45862</v>
      </c>
      <c r="H796" s="5">
        <f t="shared" si="47"/>
        <v>2</v>
      </c>
      <c r="I796" s="5">
        <f t="shared" si="48"/>
        <v>2</v>
      </c>
      <c r="J796" s="2" t="s">
        <v>31</v>
      </c>
      <c r="K796" s="2" t="s">
        <v>587</v>
      </c>
      <c r="AD796" s="33" t="str">
        <f t="shared" si="46"/>
        <v>Thursday</v>
      </c>
    </row>
    <row r="797" spans="1:30" x14ac:dyDescent="0.2">
      <c r="A797" s="23">
        <v>41302</v>
      </c>
      <c r="B797" s="2" t="s">
        <v>36</v>
      </c>
      <c r="C797" t="s">
        <v>160</v>
      </c>
      <c r="D797" t="s">
        <v>208</v>
      </c>
      <c r="E797" s="2">
        <v>45860</v>
      </c>
      <c r="F797" s="2" cm="1">
        <f t="array" ref="F797">_xlfn.IFS(B797="Owner Surrender",E797,B797="Stray",E797+6,B797="Stray w/identification",E797+11,B797="Bite",E797+10,B797="Other",E797+30,B797="BAS",E797+56,B797="Seized",E797)</f>
        <v>45860</v>
      </c>
      <c r="G797" s="2">
        <v>45862</v>
      </c>
      <c r="H797" s="5">
        <f t="shared" si="47"/>
        <v>2</v>
      </c>
      <c r="I797" s="5">
        <f t="shared" si="48"/>
        <v>2</v>
      </c>
      <c r="J797" s="2" t="s">
        <v>31</v>
      </c>
      <c r="K797" s="2" t="s">
        <v>587</v>
      </c>
      <c r="AD797" s="33" t="str">
        <f t="shared" si="46"/>
        <v>Thursday</v>
      </c>
    </row>
    <row r="798" spans="1:30" x14ac:dyDescent="0.2">
      <c r="A798" s="23">
        <v>41303</v>
      </c>
      <c r="B798" s="2" t="s">
        <v>179</v>
      </c>
      <c r="C798" t="s">
        <v>82</v>
      </c>
      <c r="D798" t="s">
        <v>207</v>
      </c>
      <c r="E798" s="2">
        <v>45860</v>
      </c>
      <c r="F798" s="2" cm="1">
        <f t="array" ref="F798">_xlfn.IFS(B798="Owner Surrender",E798,B798="Stray",E798+6,B798="Stray w/identification",E798+11,B798="Bite",E798+10,B798="Other",E798+30,B798="BAS",E798+56,B798="Seized",E798)</f>
        <v>45871</v>
      </c>
      <c r="G798" s="2">
        <v>45861</v>
      </c>
      <c r="H798" s="5">
        <f t="shared" si="47"/>
        <v>1</v>
      </c>
      <c r="I798" s="5">
        <f t="shared" si="48"/>
        <v>-10</v>
      </c>
      <c r="J798" s="2" t="s">
        <v>8</v>
      </c>
      <c r="K798" s="2" t="s">
        <v>586</v>
      </c>
      <c r="AD798" s="33" t="str">
        <f t="shared" si="46"/>
        <v>Wednesday</v>
      </c>
    </row>
    <row r="799" spans="1:30" x14ac:dyDescent="0.2">
      <c r="A799" s="23">
        <v>41304</v>
      </c>
      <c r="B799" s="2" t="s">
        <v>179</v>
      </c>
      <c r="C799" t="s">
        <v>48</v>
      </c>
      <c r="D799" t="s">
        <v>207</v>
      </c>
      <c r="E799" s="2">
        <v>45860</v>
      </c>
      <c r="F799" s="2" cm="1">
        <f t="array" ref="F799">_xlfn.IFS(B799="Owner Surrender",E799,B799="Stray",E799+6,B799="Stray w/identification",E799+11,B799="Bite",E799+10,B799="Other",E799+30,B799="BAS",E799+56,B799="Seized",E799)</f>
        <v>45871</v>
      </c>
      <c r="G799" s="2">
        <v>45861</v>
      </c>
      <c r="H799" s="5">
        <f t="shared" si="47"/>
        <v>1</v>
      </c>
      <c r="I799" s="5">
        <f t="shared" si="48"/>
        <v>-10</v>
      </c>
      <c r="J799" s="2" t="s">
        <v>18</v>
      </c>
      <c r="K799" s="2" t="s">
        <v>586</v>
      </c>
      <c r="M799" t="s">
        <v>199</v>
      </c>
      <c r="AD799" s="33" t="str">
        <f t="shared" si="46"/>
        <v>Wednesday</v>
      </c>
    </row>
    <row r="800" spans="1:30" x14ac:dyDescent="0.2">
      <c r="A800" s="23">
        <v>41306</v>
      </c>
      <c r="B800" s="2" t="s">
        <v>36</v>
      </c>
      <c r="C800" t="s">
        <v>161</v>
      </c>
      <c r="D800" t="s">
        <v>207</v>
      </c>
      <c r="E800" s="2">
        <v>45861</v>
      </c>
      <c r="F800" s="2" cm="1">
        <f t="array" ref="F800">_xlfn.IFS(B800="Owner Surrender",E800,B800="Stray",E800+6,B800="Stray w/identification",E800+11,B800="Bite",E800+10,B800="Other",E800+30,B800="BAS",E800+56,B800="Seized",E800)</f>
        <v>45861</v>
      </c>
      <c r="G800" s="2">
        <v>45862</v>
      </c>
      <c r="H800" s="5">
        <f t="shared" si="47"/>
        <v>1</v>
      </c>
      <c r="I800" s="5">
        <f t="shared" si="48"/>
        <v>1</v>
      </c>
      <c r="J800" s="2" t="s">
        <v>31</v>
      </c>
      <c r="K800" s="2" t="s">
        <v>594</v>
      </c>
      <c r="M800" t="s">
        <v>162</v>
      </c>
      <c r="AD800" s="33" t="str">
        <f t="shared" si="46"/>
        <v>Thursday</v>
      </c>
    </row>
    <row r="801" spans="1:30" x14ac:dyDescent="0.2">
      <c r="A801" s="23">
        <v>41308</v>
      </c>
      <c r="B801" s="2" t="s">
        <v>36</v>
      </c>
      <c r="C801" t="s">
        <v>55</v>
      </c>
      <c r="D801" t="s">
        <v>208</v>
      </c>
      <c r="E801" s="2">
        <v>45862</v>
      </c>
      <c r="F801" s="2" cm="1">
        <f t="array" ref="F801">_xlfn.IFS(B801="Owner Surrender",E801,B801="Stray",E801+6,B801="Stray w/identification",E801+11,B801="Bite",E801+10,B801="Other",E801+30,B801="BAS",E801+56,B801="Seized",E801)</f>
        <v>45862</v>
      </c>
      <c r="G801" s="2">
        <v>45873</v>
      </c>
      <c r="H801" s="5">
        <f t="shared" si="47"/>
        <v>11</v>
      </c>
      <c r="I801" s="5">
        <f t="shared" si="48"/>
        <v>11</v>
      </c>
      <c r="J801" s="2" t="s">
        <v>11</v>
      </c>
      <c r="K801" s="2" t="s">
        <v>586</v>
      </c>
      <c r="AD801" s="33" t="str">
        <f t="shared" si="46"/>
        <v>Monday</v>
      </c>
    </row>
    <row r="802" spans="1:30" x14ac:dyDescent="0.2">
      <c r="A802" s="23">
        <v>41309</v>
      </c>
      <c r="B802" s="2" t="s">
        <v>179</v>
      </c>
      <c r="C802" t="s">
        <v>56</v>
      </c>
      <c r="D802" t="s">
        <v>207</v>
      </c>
      <c r="E802" s="2">
        <v>45862</v>
      </c>
      <c r="F802" s="2" cm="1">
        <f t="array" ref="F802">_xlfn.IFS(B802="Owner Surrender",E802,B802="Stray",E802+6,B802="Stray w/identification",E802+11,B802="Bite",E802+10,B802="Other",E802+30,B802="BAS",E802+56,B802="Seized",E802)</f>
        <v>45873</v>
      </c>
      <c r="G802" s="2">
        <v>45896</v>
      </c>
      <c r="H802" s="5">
        <f t="shared" si="47"/>
        <v>34</v>
      </c>
      <c r="I802" s="5">
        <f t="shared" si="48"/>
        <v>23</v>
      </c>
      <c r="J802" s="2" t="s">
        <v>11</v>
      </c>
      <c r="K802" s="2" t="s">
        <v>586</v>
      </c>
      <c r="L802" t="s">
        <v>526</v>
      </c>
      <c r="M802" s="2" t="s">
        <v>189</v>
      </c>
      <c r="AD802" s="33" t="str">
        <f t="shared" si="46"/>
        <v>Wednesday</v>
      </c>
    </row>
    <row r="803" spans="1:30" x14ac:dyDescent="0.2">
      <c r="A803" s="23">
        <v>41318</v>
      </c>
      <c r="B803" s="2" t="s">
        <v>179</v>
      </c>
      <c r="C803" t="s">
        <v>164</v>
      </c>
      <c r="D803" t="s">
        <v>208</v>
      </c>
      <c r="E803" s="2">
        <v>45862</v>
      </c>
      <c r="F803" s="2" cm="1">
        <f t="array" ref="F803">_xlfn.IFS(B803="Owner Surrender",E803,B803="Stray",E803+6,B803="Stray w/identification",E803+11,B803="Bite",E803+10,B803="Other",E803+30,B803="BAS",E803+56,B803="Seized",E803)</f>
        <v>45873</v>
      </c>
      <c r="G803" s="2">
        <v>45882</v>
      </c>
      <c r="H803" s="5">
        <f t="shared" si="47"/>
        <v>20</v>
      </c>
      <c r="I803" s="5">
        <f t="shared" si="48"/>
        <v>9</v>
      </c>
      <c r="J803" s="2" t="s">
        <v>31</v>
      </c>
      <c r="K803" s="2" t="s">
        <v>587</v>
      </c>
      <c r="L803" s="2" t="s">
        <v>165</v>
      </c>
      <c r="M803" t="s">
        <v>200</v>
      </c>
      <c r="AD803" s="33" t="str">
        <f t="shared" si="46"/>
        <v>Wednesday</v>
      </c>
    </row>
    <row r="804" spans="1:30" x14ac:dyDescent="0.2">
      <c r="A804" s="23">
        <v>41320</v>
      </c>
      <c r="B804" s="2" t="s">
        <v>38</v>
      </c>
      <c r="C804" t="s">
        <v>72</v>
      </c>
      <c r="D804" t="s">
        <v>207</v>
      </c>
      <c r="E804" s="2">
        <v>45863</v>
      </c>
      <c r="F804" s="2" cm="1">
        <f t="array" ref="F804">_xlfn.IFS(B804="Owner Surrender",E804,B804="Stray",E804+6,B804="Stray w/identification",E804+11,B804="Bite",E804+10,B804="Other",E804+30,B804="BAS",E804+56,B804="Seized",E804)</f>
        <v>45869</v>
      </c>
      <c r="G804" s="2">
        <v>45870</v>
      </c>
      <c r="H804" s="5">
        <f t="shared" si="47"/>
        <v>7</v>
      </c>
      <c r="I804" s="5">
        <f t="shared" si="48"/>
        <v>1</v>
      </c>
      <c r="J804" s="2" t="s">
        <v>18</v>
      </c>
      <c r="K804" s="2" t="s">
        <v>586</v>
      </c>
      <c r="M804" s="2" t="s">
        <v>99</v>
      </c>
      <c r="AD804" s="33" t="str">
        <f t="shared" si="46"/>
        <v>Friday</v>
      </c>
    </row>
    <row r="805" spans="1:30" x14ac:dyDescent="0.2">
      <c r="A805" s="23">
        <v>41321</v>
      </c>
      <c r="B805" s="2" t="s">
        <v>60</v>
      </c>
      <c r="C805" t="s">
        <v>48</v>
      </c>
      <c r="D805" t="s">
        <v>207</v>
      </c>
      <c r="E805" s="2">
        <v>45863</v>
      </c>
      <c r="F805" s="2" cm="1">
        <f t="array" ref="F805">_xlfn.IFS(B805="Owner Surrender",E805,B805="Stray",E805+6,B805="Stray w/identification",E805+11,B805="Bite",E805+10,B805="Other",E805+30,B805="BAS",E805+56,B805="Seized",E805)</f>
        <v>45893</v>
      </c>
      <c r="G805" s="2">
        <v>45891</v>
      </c>
      <c r="H805" s="5">
        <f t="shared" si="47"/>
        <v>28</v>
      </c>
      <c r="I805" s="5">
        <f t="shared" si="48"/>
        <v>-2</v>
      </c>
      <c r="J805" s="2" t="s">
        <v>8</v>
      </c>
      <c r="K805" s="2" t="s">
        <v>586</v>
      </c>
      <c r="M805" s="2"/>
      <c r="AD805" s="33" t="str">
        <f t="shared" si="46"/>
        <v>Friday</v>
      </c>
    </row>
    <row r="806" spans="1:30" x14ac:dyDescent="0.2">
      <c r="A806" s="23">
        <v>41326</v>
      </c>
      <c r="B806" s="2" t="s">
        <v>36</v>
      </c>
      <c r="C806" t="s">
        <v>102</v>
      </c>
      <c r="D806" t="s">
        <v>209</v>
      </c>
      <c r="E806" s="2">
        <v>45864</v>
      </c>
      <c r="F806" s="2" cm="1">
        <f t="array" ref="F806">_xlfn.IFS(B806="Owner Surrender",E806,B806="Stray",E806+6,B806="Stray w/identification",E806+11,B806="Bite",E806+10,B806="Other",E806+30,B806="BAS",E806+56,B806="Seized",E806)</f>
        <v>45864</v>
      </c>
      <c r="G806" s="2">
        <v>45870</v>
      </c>
      <c r="H806" s="5">
        <f t="shared" si="47"/>
        <v>6</v>
      </c>
      <c r="I806" s="5">
        <f t="shared" si="48"/>
        <v>6</v>
      </c>
      <c r="J806" s="2" t="s">
        <v>18</v>
      </c>
      <c r="K806" s="2" t="s">
        <v>586</v>
      </c>
      <c r="M806" s="2" t="s">
        <v>99</v>
      </c>
      <c r="AD806" s="33" t="str">
        <f t="shared" si="46"/>
        <v>Friday</v>
      </c>
    </row>
    <row r="807" spans="1:30" x14ac:dyDescent="0.2">
      <c r="A807" s="23">
        <v>41329</v>
      </c>
      <c r="B807" s="2" t="s">
        <v>36</v>
      </c>
      <c r="C807" t="s">
        <v>70</v>
      </c>
      <c r="D807" t="s">
        <v>208</v>
      </c>
      <c r="E807" s="2">
        <v>45864</v>
      </c>
      <c r="F807" s="2" cm="1">
        <f t="array" ref="F807">_xlfn.IFS(B807="Owner Surrender",E807,B807="Stray",E807+6,B807="Stray w/identification",E807+11,B807="Bite",E807+10,B807="Other",E807+30,B807="BAS",E807+56,B807="Seized",E807)</f>
        <v>45864</v>
      </c>
      <c r="G807" s="2">
        <v>45866</v>
      </c>
      <c r="H807" s="5">
        <f t="shared" si="47"/>
        <v>2</v>
      </c>
      <c r="I807" s="5">
        <f t="shared" si="48"/>
        <v>2</v>
      </c>
      <c r="J807" s="2" t="s">
        <v>31</v>
      </c>
      <c r="K807" s="2" t="s">
        <v>588</v>
      </c>
      <c r="M807" t="s">
        <v>66</v>
      </c>
      <c r="AD807" s="33" t="str">
        <f t="shared" si="46"/>
        <v>Monday</v>
      </c>
    </row>
    <row r="808" spans="1:30" x14ac:dyDescent="0.2">
      <c r="A808" s="23">
        <v>41330</v>
      </c>
      <c r="B808" s="2" t="s">
        <v>36</v>
      </c>
      <c r="C808" t="s">
        <v>70</v>
      </c>
      <c r="D808" t="s">
        <v>208</v>
      </c>
      <c r="E808" s="2">
        <v>45864</v>
      </c>
      <c r="F808" s="2" cm="1">
        <f t="array" ref="F808">_xlfn.IFS(B808="Owner Surrender",E808,B808="Stray",E808+6,B808="Stray w/identification",E808+11,B808="Bite",E808+10,B808="Other",E808+30,B808="BAS",E808+56,B808="Seized",E808)</f>
        <v>45864</v>
      </c>
      <c r="G808" s="2">
        <v>45866</v>
      </c>
      <c r="H808" s="5">
        <f t="shared" si="47"/>
        <v>2</v>
      </c>
      <c r="I808" s="5">
        <f t="shared" si="48"/>
        <v>2</v>
      </c>
      <c r="J808" s="2" t="s">
        <v>31</v>
      </c>
      <c r="K808" s="2" t="s">
        <v>588</v>
      </c>
      <c r="M808" t="s">
        <v>66</v>
      </c>
      <c r="AD808" s="33" t="str">
        <f t="shared" si="46"/>
        <v>Monday</v>
      </c>
    </row>
    <row r="809" spans="1:30" x14ac:dyDescent="0.2">
      <c r="A809" s="23">
        <v>41331</v>
      </c>
      <c r="B809" s="2" t="s">
        <v>36</v>
      </c>
      <c r="C809" t="s">
        <v>70</v>
      </c>
      <c r="D809" t="s">
        <v>208</v>
      </c>
      <c r="E809" s="2">
        <v>45864</v>
      </c>
      <c r="F809" s="2" cm="1">
        <f t="array" ref="F809">_xlfn.IFS(B809="Owner Surrender",E809,B809="Stray",E809+6,B809="Stray w/identification",E809+11,B809="Bite",E809+10,B809="Other",E809+30,B809="BAS",E809+56,B809="Seized",E809)</f>
        <v>45864</v>
      </c>
      <c r="G809" s="2">
        <v>45866</v>
      </c>
      <c r="H809" s="5">
        <f t="shared" si="47"/>
        <v>2</v>
      </c>
      <c r="I809" s="5">
        <f t="shared" si="48"/>
        <v>2</v>
      </c>
      <c r="J809" s="2" t="s">
        <v>31</v>
      </c>
      <c r="K809" s="2" t="s">
        <v>588</v>
      </c>
      <c r="M809" t="s">
        <v>66</v>
      </c>
      <c r="AD809" s="33" t="str">
        <f t="shared" si="46"/>
        <v>Monday</v>
      </c>
    </row>
    <row r="810" spans="1:30" x14ac:dyDescent="0.2">
      <c r="A810" s="23">
        <v>41334</v>
      </c>
      <c r="B810" s="2" t="s">
        <v>38</v>
      </c>
      <c r="C810" t="s">
        <v>61</v>
      </c>
      <c r="D810" t="s">
        <v>209</v>
      </c>
      <c r="E810" s="2">
        <v>45865</v>
      </c>
      <c r="F810" s="2" cm="1">
        <f t="array" ref="F810">_xlfn.IFS(B810="Owner Surrender",E810,B810="Stray",E810+6,B810="Stray w/identification",E810+11,B810="Bite",E810+10,B810="Other",E810+30,B810="BAS",E810+56,B810="Seized",E810)</f>
        <v>45871</v>
      </c>
      <c r="G810" s="2">
        <v>45874</v>
      </c>
      <c r="H810" s="5">
        <f t="shared" si="47"/>
        <v>9</v>
      </c>
      <c r="I810" s="5">
        <f t="shared" si="48"/>
        <v>3</v>
      </c>
      <c r="J810" s="2" t="s">
        <v>31</v>
      </c>
      <c r="K810" s="2" t="s">
        <v>587</v>
      </c>
      <c r="AD810" s="33" t="str">
        <f t="shared" si="46"/>
        <v>Tuesday</v>
      </c>
    </row>
    <row r="811" spans="1:30" x14ac:dyDescent="0.2">
      <c r="A811" s="23">
        <v>41335</v>
      </c>
      <c r="B811" s="2" t="s">
        <v>38</v>
      </c>
      <c r="C811" t="s">
        <v>61</v>
      </c>
      <c r="D811" t="s">
        <v>209</v>
      </c>
      <c r="E811" s="2">
        <v>45865</v>
      </c>
      <c r="F811" s="2" cm="1">
        <f t="array" ref="F811">_xlfn.IFS(B811="Owner Surrender",E811,B811="Stray",E811+6,B811="Stray w/identification",E811+11,B811="Bite",E811+10,B811="Other",E811+30,B811="BAS",E811+56,B811="Seized",E811)</f>
        <v>45871</v>
      </c>
      <c r="G811" s="2">
        <v>45874</v>
      </c>
      <c r="H811" s="5">
        <f t="shared" si="47"/>
        <v>9</v>
      </c>
      <c r="I811" s="5">
        <f t="shared" si="48"/>
        <v>3</v>
      </c>
      <c r="J811" s="2" t="s">
        <v>11</v>
      </c>
      <c r="K811" s="2" t="s">
        <v>586</v>
      </c>
      <c r="AD811" s="33" t="str">
        <f t="shared" si="46"/>
        <v>Tuesday</v>
      </c>
    </row>
    <row r="812" spans="1:30" x14ac:dyDescent="0.2">
      <c r="A812" s="23">
        <v>41338</v>
      </c>
      <c r="B812" s="2" t="s">
        <v>36</v>
      </c>
      <c r="C812" t="s">
        <v>167</v>
      </c>
      <c r="D812" t="s">
        <v>210</v>
      </c>
      <c r="E812" s="2">
        <v>45866</v>
      </c>
      <c r="F812" s="2" cm="1">
        <f t="array" ref="F812">_xlfn.IFS(B812="Owner Surrender",E812,B812="Stray",E812+6,B812="Stray w/identification",E812+11,B812="Bite",E812+10,B812="Other",E812+30,B812="BAS",E812+56,B812="Seized",E812)</f>
        <v>45866</v>
      </c>
      <c r="G812" s="2">
        <v>45876</v>
      </c>
      <c r="H812" s="5">
        <f t="shared" ref="H812:H831" si="49">+G812-E812</f>
        <v>10</v>
      </c>
      <c r="I812" s="5">
        <f t="shared" si="48"/>
        <v>10</v>
      </c>
      <c r="J812" s="2" t="s">
        <v>31</v>
      </c>
      <c r="K812" s="2" t="s">
        <v>587</v>
      </c>
      <c r="L812" s="2" t="s">
        <v>168</v>
      </c>
      <c r="AD812" s="33" t="str">
        <f t="shared" si="46"/>
        <v>Thursday</v>
      </c>
    </row>
    <row r="813" spans="1:30" x14ac:dyDescent="0.2">
      <c r="A813" s="23">
        <v>41339</v>
      </c>
      <c r="B813" s="2" t="s">
        <v>36</v>
      </c>
      <c r="C813" t="s">
        <v>169</v>
      </c>
      <c r="D813" t="s">
        <v>207</v>
      </c>
      <c r="E813" s="2">
        <v>45866</v>
      </c>
      <c r="F813" s="2" cm="1">
        <f t="array" ref="F813">_xlfn.IFS(B813="Owner Surrender",E813,B813="Stray",E813+6,B813="Stray w/identification",E813+11,B813="Bite",E813+10,B813="Other",E813+30,B813="BAS",E813+56,B813="Seized",E813)</f>
        <v>45866</v>
      </c>
      <c r="G813" s="2">
        <v>45870</v>
      </c>
      <c r="H813" s="5">
        <f t="shared" si="49"/>
        <v>4</v>
      </c>
      <c r="I813" s="5">
        <f t="shared" si="48"/>
        <v>4</v>
      </c>
      <c r="J813" s="2" t="s">
        <v>31</v>
      </c>
      <c r="K813" s="2" t="s">
        <v>587</v>
      </c>
      <c r="L813" s="2" t="s">
        <v>170</v>
      </c>
      <c r="AD813" s="33" t="str">
        <f t="shared" si="46"/>
        <v>Friday</v>
      </c>
    </row>
    <row r="814" spans="1:30" x14ac:dyDescent="0.2">
      <c r="A814" s="23">
        <v>41342</v>
      </c>
      <c r="B814" s="2" t="s">
        <v>38</v>
      </c>
      <c r="C814" t="s">
        <v>171</v>
      </c>
      <c r="D814" t="s">
        <v>207</v>
      </c>
      <c r="E814" s="2">
        <v>45866</v>
      </c>
      <c r="F814" s="2" cm="1">
        <f t="array" ref="F814">_xlfn.IFS(B814="Owner Surrender",E814,B814="Stray",E814+6,B814="Stray w/identification",E814+11,B814="Bite",E814+10,B814="Other",E814+30,B814="BAS",E814+56,B814="Seized",E814)</f>
        <v>45872</v>
      </c>
      <c r="G814" s="2">
        <v>45877</v>
      </c>
      <c r="H814" s="5">
        <f t="shared" si="49"/>
        <v>11</v>
      </c>
      <c r="I814" s="5">
        <f t="shared" si="48"/>
        <v>5</v>
      </c>
      <c r="J814" s="2" t="s">
        <v>31</v>
      </c>
      <c r="K814" s="2" t="s">
        <v>587</v>
      </c>
      <c r="AD814" s="33" t="str">
        <f t="shared" si="46"/>
        <v>Friday</v>
      </c>
    </row>
    <row r="815" spans="1:30" x14ac:dyDescent="0.2">
      <c r="A815" s="23">
        <v>41343</v>
      </c>
      <c r="B815" s="2" t="s">
        <v>38</v>
      </c>
      <c r="C815" t="s">
        <v>148</v>
      </c>
      <c r="D815" t="s">
        <v>209</v>
      </c>
      <c r="E815" s="2">
        <v>45866</v>
      </c>
      <c r="F815" s="2" cm="1">
        <f t="array" ref="F815">_xlfn.IFS(B815="Owner Surrender",E815,B815="Stray",E815+6,B815="Stray w/identification",E815+11,B815="Bite",E815+10,B815="Other",E815+30,B815="BAS",E815+56,B815="Seized",E815)</f>
        <v>45872</v>
      </c>
      <c r="G815" s="2">
        <v>45874</v>
      </c>
      <c r="H815" s="5">
        <f t="shared" si="49"/>
        <v>8</v>
      </c>
      <c r="I815" s="5">
        <f t="shared" si="48"/>
        <v>2</v>
      </c>
      <c r="J815" s="2" t="s">
        <v>31</v>
      </c>
      <c r="K815" s="2" t="s">
        <v>588</v>
      </c>
      <c r="M815" t="s">
        <v>66</v>
      </c>
      <c r="AD815" s="33" t="str">
        <f t="shared" si="46"/>
        <v>Tuesday</v>
      </c>
    </row>
    <row r="816" spans="1:30" x14ac:dyDescent="0.2">
      <c r="A816" s="23">
        <v>41345</v>
      </c>
      <c r="B816" s="2" t="s">
        <v>38</v>
      </c>
      <c r="C816" t="s">
        <v>49</v>
      </c>
      <c r="D816" t="s">
        <v>208</v>
      </c>
      <c r="E816" s="2">
        <v>45867</v>
      </c>
      <c r="F816" s="2" cm="1">
        <f t="array" ref="F816">_xlfn.IFS(B816="Owner Surrender",E816,B816="Stray",E816+6,B816="Stray w/identification",E816+11,B816="Bite",E816+10,B816="Other",E816+30,B816="BAS",E816+56,B816="Seized",E816)</f>
        <v>45873</v>
      </c>
      <c r="G816" s="2">
        <v>45874</v>
      </c>
      <c r="H816" s="5">
        <f t="shared" si="49"/>
        <v>7</v>
      </c>
      <c r="I816" s="5">
        <f t="shared" si="48"/>
        <v>1</v>
      </c>
      <c r="J816" s="2" t="s">
        <v>31</v>
      </c>
      <c r="K816" s="2" t="s">
        <v>588</v>
      </c>
      <c r="M816" t="s">
        <v>172</v>
      </c>
      <c r="AD816" s="33" t="str">
        <f t="shared" si="46"/>
        <v>Tuesday</v>
      </c>
    </row>
    <row r="817" spans="1:30" x14ac:dyDescent="0.2">
      <c r="A817" s="23">
        <v>41346</v>
      </c>
      <c r="B817" s="2" t="s">
        <v>38</v>
      </c>
      <c r="C817" t="s">
        <v>58</v>
      </c>
      <c r="D817" t="s">
        <v>207</v>
      </c>
      <c r="E817" s="2">
        <v>45867</v>
      </c>
      <c r="F817" s="2" cm="1">
        <f t="array" ref="F817">_xlfn.IFS(B817="Owner Surrender",E817,B817="Stray",E817+6,B817="Stray w/identification",E817+11,B817="Bite",E817+10,B817="Other",E817+30,B817="BAS",E817+56,B817="Seized",E817)</f>
        <v>45873</v>
      </c>
      <c r="G817" s="2">
        <v>45888</v>
      </c>
      <c r="H817" s="5">
        <f t="shared" si="49"/>
        <v>21</v>
      </c>
      <c r="I817" s="5">
        <f t="shared" si="48"/>
        <v>15</v>
      </c>
      <c r="J817" s="2" t="s">
        <v>11</v>
      </c>
      <c r="K817" s="2" t="s">
        <v>586</v>
      </c>
      <c r="AD817" s="33" t="str">
        <f t="shared" si="46"/>
        <v>Tuesday</v>
      </c>
    </row>
    <row r="818" spans="1:30" x14ac:dyDescent="0.2">
      <c r="A818" s="23">
        <v>41347</v>
      </c>
      <c r="B818" s="2" t="s">
        <v>36</v>
      </c>
      <c r="C818" t="s">
        <v>48</v>
      </c>
      <c r="D818" t="s">
        <v>207</v>
      </c>
      <c r="E818" s="2">
        <v>45867</v>
      </c>
      <c r="F818" s="2" cm="1">
        <f t="array" ref="F818">_xlfn.IFS(B818="Owner Surrender",E818,B818="Stray",E818+6,B818="Stray w/identification",E818+11,B818="Bite",E818+10,B818="Other",E818+30,B818="BAS",E818+56,B818="Seized",E818)</f>
        <v>45867</v>
      </c>
      <c r="G818" s="2">
        <v>45868</v>
      </c>
      <c r="H818" s="5">
        <f t="shared" si="49"/>
        <v>1</v>
      </c>
      <c r="I818" s="5">
        <f t="shared" si="48"/>
        <v>1</v>
      </c>
      <c r="J818" s="2" t="s">
        <v>31</v>
      </c>
      <c r="K818" s="2" t="s">
        <v>587</v>
      </c>
      <c r="AD818" s="33" t="str">
        <f t="shared" si="46"/>
        <v>Wednesday</v>
      </c>
    </row>
    <row r="819" spans="1:30" x14ac:dyDescent="0.2">
      <c r="A819" s="23">
        <v>41348</v>
      </c>
      <c r="B819" s="2" t="s">
        <v>36</v>
      </c>
      <c r="C819" t="s">
        <v>48</v>
      </c>
      <c r="D819" t="s">
        <v>207</v>
      </c>
      <c r="E819" s="2">
        <v>45867</v>
      </c>
      <c r="F819" s="2" cm="1">
        <f t="array" ref="F819">_xlfn.IFS(B819="Owner Surrender",E819,B819="Stray",E819+6,B819="Stray w/identification",E819+11,B819="Bite",E819+10,B819="Other",E819+30,B819="BAS",E819+56,B819="Seized",E819)</f>
        <v>45867</v>
      </c>
      <c r="G819" s="2">
        <v>45868</v>
      </c>
      <c r="H819" s="5">
        <f t="shared" si="49"/>
        <v>1</v>
      </c>
      <c r="I819" s="5">
        <f t="shared" si="48"/>
        <v>1</v>
      </c>
      <c r="J819" s="2" t="s">
        <v>31</v>
      </c>
      <c r="K819" s="2" t="s">
        <v>587</v>
      </c>
      <c r="AD819" s="33" t="str">
        <f t="shared" si="46"/>
        <v>Wednesday</v>
      </c>
    </row>
    <row r="820" spans="1:30" x14ac:dyDescent="0.2">
      <c r="A820" s="23">
        <v>41361</v>
      </c>
      <c r="B820" s="2" t="s">
        <v>179</v>
      </c>
      <c r="C820" t="s">
        <v>49</v>
      </c>
      <c r="D820" t="s">
        <v>207</v>
      </c>
      <c r="E820" s="2">
        <v>45867</v>
      </c>
      <c r="F820" s="2" cm="1">
        <f t="array" ref="F820">_xlfn.IFS(B820="Owner Surrender",E820,B820="Stray",E820+6,B820="Stray w/identification",E820+11,B820="Bite",E820+10,B820="Other",E820+30,B820="BAS",E820+56,B820="Seized",E820)</f>
        <v>45878</v>
      </c>
      <c r="G820" s="2">
        <v>45868</v>
      </c>
      <c r="H820" s="5">
        <f t="shared" si="49"/>
        <v>1</v>
      </c>
      <c r="I820" s="5">
        <f t="shared" si="48"/>
        <v>-10</v>
      </c>
      <c r="J820" s="2" t="s">
        <v>8</v>
      </c>
      <c r="K820" s="2" t="s">
        <v>586</v>
      </c>
      <c r="AD820" s="33" t="str">
        <f t="shared" si="46"/>
        <v>Wednesday</v>
      </c>
    </row>
    <row r="821" spans="1:30" x14ac:dyDescent="0.2">
      <c r="A821" s="23">
        <v>41366</v>
      </c>
      <c r="B821" s="2" t="s">
        <v>38</v>
      </c>
      <c r="C821" t="s">
        <v>72</v>
      </c>
      <c r="D821" t="s">
        <v>207</v>
      </c>
      <c r="E821" s="2">
        <v>45867</v>
      </c>
      <c r="F821" s="2" cm="1">
        <f t="array" ref="F821">_xlfn.IFS(B821="Owner Surrender",E821,B821="Stray",E821+6,B821="Stray w/identification",E821+11,B821="Bite",E821+10,B821="Other",E821+30,B821="BAS",E821+56,B821="Seized",E821)</f>
        <v>45873</v>
      </c>
      <c r="G821" s="2">
        <v>45882</v>
      </c>
      <c r="H821" s="5">
        <f t="shared" si="49"/>
        <v>15</v>
      </c>
      <c r="I821" s="5">
        <f t="shared" si="48"/>
        <v>9</v>
      </c>
      <c r="J821" s="2" t="s">
        <v>31</v>
      </c>
      <c r="K821" s="2" t="s">
        <v>587</v>
      </c>
      <c r="L821" s="2" t="s">
        <v>173</v>
      </c>
      <c r="AD821" s="33" t="str">
        <f t="shared" si="46"/>
        <v>Wednesday</v>
      </c>
    </row>
    <row r="822" spans="1:30" x14ac:dyDescent="0.2">
      <c r="A822" s="23">
        <v>41367</v>
      </c>
      <c r="B822" s="2" t="s">
        <v>36</v>
      </c>
      <c r="C822" t="s">
        <v>174</v>
      </c>
      <c r="D822" t="s">
        <v>207</v>
      </c>
      <c r="E822" s="2">
        <v>45868</v>
      </c>
      <c r="F822" s="2" cm="1">
        <f t="array" ref="F822">_xlfn.IFS(B822="Owner Surrender",E822,B822="Stray",E822+6,B822="Stray w/identification",E822+11,B822="Bite",E822+10,B822="Other",E822+30,B822="BAS",E822+56,B822="Seized",E822)</f>
        <v>45868</v>
      </c>
      <c r="G822" s="2">
        <v>45870</v>
      </c>
      <c r="H822" s="5">
        <f t="shared" si="49"/>
        <v>2</v>
      </c>
      <c r="I822" s="5">
        <f t="shared" si="48"/>
        <v>2</v>
      </c>
      <c r="J822" s="2" t="s">
        <v>31</v>
      </c>
      <c r="K822" s="2" t="s">
        <v>587</v>
      </c>
      <c r="L822" s="2" t="s">
        <v>175</v>
      </c>
      <c r="AD822" s="33" t="str">
        <f t="shared" si="46"/>
        <v>Friday</v>
      </c>
    </row>
    <row r="823" spans="1:30" x14ac:dyDescent="0.2">
      <c r="A823" s="23">
        <v>41379</v>
      </c>
      <c r="B823" s="2" t="s">
        <v>36</v>
      </c>
      <c r="C823" t="s">
        <v>64</v>
      </c>
      <c r="D823" t="s">
        <v>210</v>
      </c>
      <c r="E823" s="2">
        <v>45869</v>
      </c>
      <c r="F823" s="2" cm="1">
        <f t="array" ref="F823">_xlfn.IFS(B823="Owner Surrender",E823,B823="Stray",E823+6,B823="Stray w/identification",E823+11,B823="Bite",E823+10,B823="Other",E823+30,B823="BAS",E823+56,B823="Seized",E823)</f>
        <v>45869</v>
      </c>
      <c r="G823" s="2">
        <v>45869</v>
      </c>
      <c r="H823" s="5">
        <f t="shared" si="49"/>
        <v>0</v>
      </c>
      <c r="I823" s="5">
        <f t="shared" si="48"/>
        <v>0</v>
      </c>
      <c r="J823" s="2" t="s">
        <v>31</v>
      </c>
      <c r="K823" s="2" t="s">
        <v>587</v>
      </c>
      <c r="M823" t="s">
        <v>65</v>
      </c>
      <c r="AD823" s="33" t="str">
        <f t="shared" si="46"/>
        <v>Thursday</v>
      </c>
    </row>
    <row r="824" spans="1:30" x14ac:dyDescent="0.2">
      <c r="A824" s="23">
        <v>41386</v>
      </c>
      <c r="B824" s="2" t="s">
        <v>36</v>
      </c>
      <c r="C824" t="s">
        <v>71</v>
      </c>
      <c r="D824" t="s">
        <v>207</v>
      </c>
      <c r="E824" s="2">
        <v>45869</v>
      </c>
      <c r="F824" s="2" cm="1">
        <f t="array" ref="F824">_xlfn.IFS(B824="Owner Surrender",E824,B824="Stray",E824+6,B824="Stray w/identification",E824+11,B824="Bite",E824+10,B824="Other",E824+30,B824="BAS",E824+56,B824="Seized",E824)</f>
        <v>45869</v>
      </c>
      <c r="H824" s="5">
        <f t="shared" si="49"/>
        <v>-45869</v>
      </c>
      <c r="I824" s="5">
        <f t="shared" si="48"/>
        <v>-45869</v>
      </c>
      <c r="J824" s="2" t="s">
        <v>21</v>
      </c>
      <c r="K824" s="2" t="s">
        <v>586</v>
      </c>
      <c r="M824" s="2"/>
      <c r="AD824" s="33" t="str">
        <f t="shared" si="46"/>
        <v>Saturday</v>
      </c>
    </row>
    <row r="825" spans="1:30" x14ac:dyDescent="0.2">
      <c r="A825" s="3">
        <v>41389</v>
      </c>
      <c r="B825" s="2" t="s">
        <v>179</v>
      </c>
      <c r="C825" t="s">
        <v>49</v>
      </c>
      <c r="D825" t="s">
        <v>207</v>
      </c>
      <c r="E825" s="2">
        <v>45870</v>
      </c>
      <c r="F825" s="2" cm="1">
        <f t="array" ref="F825">_xlfn.IFS(B825="Owner Surrender",E825,B825="Stray",E825+6,B825="Stray w/identification",E825+11,B825="Bite",E825+10,B825="Other",E825+30,B825="BAS",E825+56,B825="Seized",E825)</f>
        <v>45881</v>
      </c>
      <c r="G825" s="2">
        <v>45882</v>
      </c>
      <c r="H825" s="5">
        <f t="shared" si="49"/>
        <v>12</v>
      </c>
      <c r="I825" s="5">
        <f t="shared" si="48"/>
        <v>1</v>
      </c>
      <c r="J825" s="2" t="s">
        <v>31</v>
      </c>
      <c r="K825" s="2" t="s">
        <v>587</v>
      </c>
      <c r="L825" t="s">
        <v>599</v>
      </c>
      <c r="AD825" s="33" t="str">
        <f t="shared" si="46"/>
        <v>Wednesday</v>
      </c>
    </row>
    <row r="826" spans="1:30" x14ac:dyDescent="0.2">
      <c r="A826" s="3">
        <v>41391</v>
      </c>
      <c r="B826" s="2" t="s">
        <v>36</v>
      </c>
      <c r="C826" t="s">
        <v>49</v>
      </c>
      <c r="D826" t="s">
        <v>209</v>
      </c>
      <c r="E826" s="2">
        <v>45870</v>
      </c>
      <c r="F826" s="2" cm="1">
        <f t="array" ref="F826">_xlfn.IFS(B826="Owner Surrender",E826,B826="Stray",E826+6,B826="Stray w/identification",E826+11,B826="Bite",E826+10,B826="Other",E826+30,B826="BAS",E826+56,B826="Seized",E826)</f>
        <v>45870</v>
      </c>
      <c r="G826" s="2">
        <v>45877</v>
      </c>
      <c r="H826" s="5">
        <f t="shared" si="49"/>
        <v>7</v>
      </c>
      <c r="I826" s="5">
        <f t="shared" si="48"/>
        <v>7</v>
      </c>
      <c r="J826" s="2" t="s">
        <v>18</v>
      </c>
      <c r="K826" s="2" t="s">
        <v>586</v>
      </c>
      <c r="M826" t="s">
        <v>19</v>
      </c>
      <c r="AD826" s="33" t="str">
        <f t="shared" si="46"/>
        <v>Friday</v>
      </c>
    </row>
    <row r="827" spans="1:30" x14ac:dyDescent="0.2">
      <c r="A827" s="3">
        <v>41399</v>
      </c>
      <c r="B827" s="2" t="s">
        <v>38</v>
      </c>
      <c r="C827" t="s">
        <v>89</v>
      </c>
      <c r="D827" t="s">
        <v>207</v>
      </c>
      <c r="E827" s="2">
        <v>45871</v>
      </c>
      <c r="F827" s="2" cm="1">
        <f t="array" ref="F827">_xlfn.IFS(B827="Owner Surrender",E827,B827="Stray",E827+6,B827="Stray w/identification",E827+11,B827="Bite",E827+10,B827="Other",E827+30,B827="BAS",E827+56,B827="Seized",E827)</f>
        <v>45877</v>
      </c>
      <c r="G827" s="2">
        <v>45877</v>
      </c>
      <c r="H827" s="5">
        <f t="shared" si="49"/>
        <v>6</v>
      </c>
      <c r="I827" s="5">
        <f t="shared" si="48"/>
        <v>0</v>
      </c>
      <c r="J827" s="2" t="s">
        <v>31</v>
      </c>
      <c r="K827" s="2" t="s">
        <v>588</v>
      </c>
      <c r="M827" s="4" t="s">
        <v>600</v>
      </c>
      <c r="AD827" s="33" t="str">
        <f t="shared" si="46"/>
        <v>Friday</v>
      </c>
    </row>
    <row r="828" spans="1:30" x14ac:dyDescent="0.2">
      <c r="A828" s="3">
        <v>41403</v>
      </c>
      <c r="B828" s="2" t="s">
        <v>36</v>
      </c>
      <c r="C828" t="s">
        <v>59</v>
      </c>
      <c r="D828" t="s">
        <v>207</v>
      </c>
      <c r="E828" s="2">
        <v>45871</v>
      </c>
      <c r="F828" s="2" cm="1">
        <f t="array" ref="F828">_xlfn.IFS(B828="Owner Surrender",E828,B828="Stray",E828+6,B828="Stray w/identification",E828+11,B828="Bite",E828+10,B828="Other",E828+30,B828="BAS",E828+56,B828="Seized",E828)</f>
        <v>45871</v>
      </c>
      <c r="G828" s="2">
        <v>45881</v>
      </c>
      <c r="H828" s="5">
        <f t="shared" si="49"/>
        <v>10</v>
      </c>
      <c r="I828" s="5">
        <f t="shared" si="48"/>
        <v>10</v>
      </c>
      <c r="J828" s="2" t="s">
        <v>11</v>
      </c>
      <c r="K828" s="2" t="s">
        <v>586</v>
      </c>
      <c r="L828" t="s">
        <v>503</v>
      </c>
      <c r="AD828" s="33" t="str">
        <f t="shared" si="46"/>
        <v>Tuesday</v>
      </c>
    </row>
    <row r="829" spans="1:30" x14ac:dyDescent="0.2">
      <c r="A829" s="3">
        <v>41410</v>
      </c>
      <c r="B829" s="2" t="s">
        <v>36</v>
      </c>
      <c r="C829" t="s">
        <v>110</v>
      </c>
      <c r="D829" t="s">
        <v>207</v>
      </c>
      <c r="E829" s="2">
        <v>45871</v>
      </c>
      <c r="F829" s="2" cm="1">
        <f t="array" ref="F829">_xlfn.IFS(B829="Owner Surrender",E829,B829="Stray",E829+6,B829="Stray w/identification",E829+11,B829="Bite",E829+10,B829="Other",E829+30,B829="BAS",E829+56,B829="Seized",E829)</f>
        <v>45871</v>
      </c>
      <c r="G829" s="2">
        <v>45881</v>
      </c>
      <c r="H829" s="5">
        <f t="shared" si="49"/>
        <v>10</v>
      </c>
      <c r="I829" s="5">
        <f t="shared" si="48"/>
        <v>10</v>
      </c>
      <c r="J829" s="2" t="s">
        <v>8</v>
      </c>
      <c r="K829" s="2" t="s">
        <v>586</v>
      </c>
      <c r="AD829" s="33" t="str">
        <f t="shared" si="46"/>
        <v>Tuesday</v>
      </c>
    </row>
    <row r="830" spans="1:30" x14ac:dyDescent="0.2">
      <c r="A830" s="3">
        <v>41411</v>
      </c>
      <c r="B830" s="2" t="s">
        <v>36</v>
      </c>
      <c r="C830" t="s">
        <v>108</v>
      </c>
      <c r="D830" t="s">
        <v>207</v>
      </c>
      <c r="E830" s="2">
        <v>45871</v>
      </c>
      <c r="F830" s="2" cm="1">
        <f t="array" ref="F830">_xlfn.IFS(B830="Owner Surrender",E830,B830="Stray",E830+6,B830="Stray w/identification",E830+11,B830="Bite",E830+10,B830="Other",E830+30,B830="BAS",E830+56,B830="Seized",E830)</f>
        <v>45871</v>
      </c>
      <c r="G830" s="2">
        <v>45896</v>
      </c>
      <c r="H830" s="5">
        <f t="shared" si="49"/>
        <v>25</v>
      </c>
      <c r="I830" s="5">
        <f t="shared" si="48"/>
        <v>25</v>
      </c>
      <c r="J830" s="2" t="s">
        <v>18</v>
      </c>
      <c r="K830" s="2" t="s">
        <v>586</v>
      </c>
      <c r="M830" t="s">
        <v>601</v>
      </c>
      <c r="AD830" s="33" t="str">
        <f t="shared" si="46"/>
        <v>Wednesday</v>
      </c>
    </row>
    <row r="831" spans="1:30" x14ac:dyDescent="0.2">
      <c r="A831" s="3">
        <v>41412</v>
      </c>
      <c r="B831" s="2" t="s">
        <v>36</v>
      </c>
      <c r="C831" t="s">
        <v>48</v>
      </c>
      <c r="D831" t="s">
        <v>208</v>
      </c>
      <c r="E831" s="2">
        <v>45871</v>
      </c>
      <c r="F831" s="2" cm="1">
        <f t="array" ref="F831">_xlfn.IFS(B831="Owner Surrender",E831,B831="Stray",E831+6,B831="Stray w/identification",E831+11,B831="Bite",E831+10,B831="Other",E831+30,B831="BAS",E831+56,B831="Seized",E831)</f>
        <v>45871</v>
      </c>
      <c r="G831" s="2">
        <v>45874</v>
      </c>
      <c r="H831" s="5">
        <f t="shared" si="49"/>
        <v>3</v>
      </c>
      <c r="I831" s="5">
        <f t="shared" si="48"/>
        <v>3</v>
      </c>
      <c r="J831" s="2" t="s">
        <v>31</v>
      </c>
      <c r="K831" s="2" t="s">
        <v>587</v>
      </c>
      <c r="AD831" s="33" t="str">
        <f t="shared" si="46"/>
        <v>Tuesday</v>
      </c>
    </row>
    <row r="832" spans="1:30" x14ac:dyDescent="0.2">
      <c r="A832" s="3">
        <v>41413</v>
      </c>
      <c r="B832" s="2" t="s">
        <v>36</v>
      </c>
      <c r="C832" t="s">
        <v>48</v>
      </c>
      <c r="D832" t="s">
        <v>208</v>
      </c>
      <c r="E832" s="2">
        <v>45871</v>
      </c>
      <c r="F832" s="2" cm="1">
        <f t="array" ref="F832">_xlfn.IFS(B832="Owner Surrender",E832,B832="Stray",E832+6,B832="Stray w/identification",E832+11,B832="Bite",E832+10,B832="Other",E832+30,B832="BAS",E832+56,B832="Seized",E832)</f>
        <v>45871</v>
      </c>
      <c r="G832" s="2">
        <v>45874</v>
      </c>
      <c r="H832" s="5">
        <f t="shared" ref="H832:H895" si="50">+G832-E832</f>
        <v>3</v>
      </c>
      <c r="I832" s="5">
        <f t="shared" ref="I832:I895" si="51">G832-F832</f>
        <v>3</v>
      </c>
      <c r="J832" s="2" t="s">
        <v>31</v>
      </c>
      <c r="K832" s="2" t="s">
        <v>587</v>
      </c>
      <c r="AD832" s="33" t="str">
        <f t="shared" si="46"/>
        <v>Tuesday</v>
      </c>
    </row>
    <row r="833" spans="1:30" x14ac:dyDescent="0.2">
      <c r="A833" s="3">
        <v>41414</v>
      </c>
      <c r="B833" s="2" t="s">
        <v>38</v>
      </c>
      <c r="C833" t="s">
        <v>516</v>
      </c>
      <c r="D833" t="s">
        <v>207</v>
      </c>
      <c r="E833" s="2">
        <v>45872</v>
      </c>
      <c r="F833" s="2" cm="1">
        <f t="array" ref="F833">_xlfn.IFS(B833="Owner Surrender",E833,B833="Stray",E833+6,B833="Stray w/identification",E833+11,B833="Bite",E833+10,B833="Other",E833+30,B833="BAS",E833+56,B833="Seized",E833)</f>
        <v>45878</v>
      </c>
      <c r="G833" s="2">
        <v>45882</v>
      </c>
      <c r="H833" s="5">
        <f t="shared" si="50"/>
        <v>10</v>
      </c>
      <c r="I833" s="5">
        <f t="shared" si="51"/>
        <v>4</v>
      </c>
      <c r="J833" s="2" t="s">
        <v>31</v>
      </c>
      <c r="K833" s="2" t="s">
        <v>587</v>
      </c>
      <c r="AD833" s="33" t="str">
        <f t="shared" si="46"/>
        <v>Wednesday</v>
      </c>
    </row>
    <row r="834" spans="1:30" x14ac:dyDescent="0.2">
      <c r="A834" s="3">
        <v>41415</v>
      </c>
      <c r="B834" s="2" t="s">
        <v>179</v>
      </c>
      <c r="C834" t="s">
        <v>72</v>
      </c>
      <c r="D834" t="s">
        <v>207</v>
      </c>
      <c r="E834" s="2">
        <v>45872</v>
      </c>
      <c r="F834" s="2" cm="1">
        <f t="array" ref="F834">_xlfn.IFS(B834="Owner Surrender",E834,B834="Stray",E834+6,B834="Stray w/identification",E834+11,B834="Bite",E834+10,B834="Other",E834+30,B834="BAS",E834+56,B834="Seized",E834)</f>
        <v>45883</v>
      </c>
      <c r="G834" s="2">
        <v>45897</v>
      </c>
      <c r="H834" s="5">
        <f t="shared" si="50"/>
        <v>25</v>
      </c>
      <c r="I834" s="5">
        <f t="shared" si="51"/>
        <v>14</v>
      </c>
      <c r="J834" s="2" t="s">
        <v>31</v>
      </c>
      <c r="K834" s="2" t="s">
        <v>587</v>
      </c>
      <c r="L834" t="s">
        <v>555</v>
      </c>
      <c r="AD834" s="33" t="str">
        <f t="shared" si="46"/>
        <v>Thursday</v>
      </c>
    </row>
    <row r="835" spans="1:30" x14ac:dyDescent="0.2">
      <c r="A835" s="3">
        <v>41423</v>
      </c>
      <c r="B835" s="2" t="s">
        <v>179</v>
      </c>
      <c r="C835" t="s">
        <v>522</v>
      </c>
      <c r="D835" t="s">
        <v>207</v>
      </c>
      <c r="E835" s="2">
        <v>45872</v>
      </c>
      <c r="F835" s="2" cm="1">
        <f t="array" ref="F835">_xlfn.IFS(B835="Owner Surrender",E835,B835="Stray",E835+6,B835="Stray w/identification",E835+11,B835="Bite",E835+10,B835="Other",E835+30,B835="BAS",E835+56,B835="Seized",E835)</f>
        <v>45883</v>
      </c>
      <c r="G835" s="2">
        <v>45873</v>
      </c>
      <c r="H835" s="5">
        <f t="shared" si="50"/>
        <v>1</v>
      </c>
      <c r="I835" s="5">
        <f t="shared" si="51"/>
        <v>-10</v>
      </c>
      <c r="J835" s="2" t="s">
        <v>8</v>
      </c>
      <c r="K835" s="2" t="s">
        <v>586</v>
      </c>
      <c r="AD835" s="33" t="str">
        <f t="shared" si="46"/>
        <v>Monday</v>
      </c>
    </row>
    <row r="836" spans="1:30" x14ac:dyDescent="0.2">
      <c r="A836" s="3">
        <v>41425</v>
      </c>
      <c r="B836" s="2" t="s">
        <v>38</v>
      </c>
      <c r="C836" t="s">
        <v>436</v>
      </c>
      <c r="D836" t="s">
        <v>207</v>
      </c>
      <c r="E836" s="2">
        <v>45873</v>
      </c>
      <c r="F836" s="2" cm="1">
        <f t="array" ref="F836">_xlfn.IFS(B836="Owner Surrender",E836,B836="Stray",E836+6,B836="Stray w/identification",E836+11,B836="Bite",E836+10,B836="Other",E836+30,B836="BAS",E836+56,B836="Seized",E836)</f>
        <v>45879</v>
      </c>
      <c r="G836" s="2">
        <v>45888</v>
      </c>
      <c r="H836" s="5">
        <f t="shared" si="50"/>
        <v>15</v>
      </c>
      <c r="I836" s="5">
        <f t="shared" si="51"/>
        <v>9</v>
      </c>
      <c r="J836" s="2" t="s">
        <v>11</v>
      </c>
      <c r="K836" s="2" t="s">
        <v>586</v>
      </c>
      <c r="L836" t="s">
        <v>602</v>
      </c>
      <c r="AD836" s="33" t="str">
        <f t="shared" ref="AD836:AD899" si="52">TEXT(G836,"DDDD")</f>
        <v>Tuesday</v>
      </c>
    </row>
    <row r="837" spans="1:30" x14ac:dyDescent="0.2">
      <c r="A837" s="3">
        <v>41426</v>
      </c>
      <c r="B837" s="2" t="s">
        <v>179</v>
      </c>
      <c r="C837" t="s">
        <v>56</v>
      </c>
      <c r="D837" t="s">
        <v>207</v>
      </c>
      <c r="E837" s="2">
        <v>45873</v>
      </c>
      <c r="F837" s="2" cm="1">
        <f t="array" ref="F837">_xlfn.IFS(B837="Owner Surrender",E837,B837="Stray",E837+6,B837="Stray w/identification",E837+11,B837="Bite",E837+10,B837="Other",E837+30,B837="BAS",E837+56,B837="Seized",E837)</f>
        <v>45884</v>
      </c>
      <c r="G837" s="2">
        <v>45888</v>
      </c>
      <c r="H837" s="5">
        <f t="shared" si="50"/>
        <v>15</v>
      </c>
      <c r="I837" s="5">
        <f t="shared" si="51"/>
        <v>4</v>
      </c>
      <c r="J837" s="2" t="s">
        <v>31</v>
      </c>
      <c r="K837" s="2" t="s">
        <v>587</v>
      </c>
      <c r="AD837" s="33" t="str">
        <f t="shared" si="52"/>
        <v>Tuesday</v>
      </c>
    </row>
    <row r="838" spans="1:30" x14ac:dyDescent="0.2">
      <c r="A838" s="3">
        <v>41437</v>
      </c>
      <c r="B838" s="2" t="s">
        <v>36</v>
      </c>
      <c r="C838" t="s">
        <v>139</v>
      </c>
      <c r="D838" t="s">
        <v>207</v>
      </c>
      <c r="E838" s="2">
        <v>45873</v>
      </c>
      <c r="F838" s="2" cm="1">
        <f t="array" ref="F838">_xlfn.IFS(B838="Owner Surrender",E838,B838="Stray",E838+6,B838="Stray w/identification",E838+11,B838="Bite",E838+10,B838="Other",E838+30,B838="BAS",E838+56,B838="Seized",E838)</f>
        <v>45873</v>
      </c>
      <c r="G838" s="2">
        <v>45884</v>
      </c>
      <c r="H838" s="5">
        <f t="shared" si="50"/>
        <v>11</v>
      </c>
      <c r="I838" s="5">
        <f t="shared" si="51"/>
        <v>11</v>
      </c>
      <c r="J838" s="2" t="s">
        <v>11</v>
      </c>
      <c r="K838" s="2" t="s">
        <v>586</v>
      </c>
      <c r="L838" t="s">
        <v>603</v>
      </c>
      <c r="AD838" s="33" t="str">
        <f t="shared" si="52"/>
        <v>Friday</v>
      </c>
    </row>
    <row r="839" spans="1:30" x14ac:dyDescent="0.2">
      <c r="A839" s="3">
        <v>41438</v>
      </c>
      <c r="B839" s="2" t="s">
        <v>36</v>
      </c>
      <c r="C839" t="s">
        <v>148</v>
      </c>
      <c r="D839" t="s">
        <v>207</v>
      </c>
      <c r="E839" s="2">
        <v>45873</v>
      </c>
      <c r="F839" s="2" cm="1">
        <f t="array" ref="F839">_xlfn.IFS(B839="Owner Surrender",E839,B839="Stray",E839+6,B839="Stray w/identification",E839+11,B839="Bite",E839+10,B839="Other",E839+30,B839="BAS",E839+56,B839="Seized",E839)</f>
        <v>45873</v>
      </c>
      <c r="G839" s="2">
        <v>45877</v>
      </c>
      <c r="H839" s="5">
        <f t="shared" si="50"/>
        <v>4</v>
      </c>
      <c r="I839" s="5">
        <f t="shared" si="51"/>
        <v>4</v>
      </c>
      <c r="J839" s="2" t="s">
        <v>31</v>
      </c>
      <c r="K839" s="2" t="s">
        <v>587</v>
      </c>
      <c r="L839" t="s">
        <v>604</v>
      </c>
      <c r="AD839" s="33" t="str">
        <f t="shared" si="52"/>
        <v>Friday</v>
      </c>
    </row>
    <row r="840" spans="1:30" x14ac:dyDescent="0.2">
      <c r="A840" s="3">
        <v>41439</v>
      </c>
      <c r="B840" s="2" t="s">
        <v>179</v>
      </c>
      <c r="C840" t="s">
        <v>48</v>
      </c>
      <c r="D840" t="s">
        <v>207</v>
      </c>
      <c r="E840" s="2">
        <v>45873</v>
      </c>
      <c r="F840" s="2" cm="1">
        <f t="array" ref="F840">_xlfn.IFS(B840="Owner Surrender",E840,B840="Stray",E840+6,B840="Stray w/identification",E840+11,B840="Bite",E840+10,B840="Other",E840+30,B840="BAS",E840+56,B840="Seized",E840)</f>
        <v>45884</v>
      </c>
      <c r="G840" s="2">
        <v>45874</v>
      </c>
      <c r="H840" s="5">
        <f t="shared" si="50"/>
        <v>1</v>
      </c>
      <c r="I840" s="5">
        <f t="shared" si="51"/>
        <v>-10</v>
      </c>
      <c r="J840" s="2" t="s">
        <v>8</v>
      </c>
      <c r="K840" s="2" t="s">
        <v>586</v>
      </c>
      <c r="AD840" s="33" t="str">
        <f t="shared" si="52"/>
        <v>Tuesday</v>
      </c>
    </row>
    <row r="841" spans="1:30" x14ac:dyDescent="0.2">
      <c r="A841" s="3">
        <v>41440</v>
      </c>
      <c r="B841" s="2" t="s">
        <v>179</v>
      </c>
      <c r="C841" t="s">
        <v>70</v>
      </c>
      <c r="D841" t="s">
        <v>207</v>
      </c>
      <c r="E841" s="2">
        <v>45873</v>
      </c>
      <c r="F841" s="2" cm="1">
        <f t="array" ref="F841">_xlfn.IFS(B841="Owner Surrender",E841,B841="Stray",E841+6,B841="Stray w/identification",E841+11,B841="Bite",E841+10,B841="Other",E841+30,B841="BAS",E841+56,B841="Seized",E841)</f>
        <v>45884</v>
      </c>
      <c r="G841" s="2">
        <v>45874</v>
      </c>
      <c r="H841" s="5">
        <f t="shared" si="50"/>
        <v>1</v>
      </c>
      <c r="I841" s="5">
        <f t="shared" si="51"/>
        <v>-10</v>
      </c>
      <c r="J841" s="2" t="s">
        <v>8</v>
      </c>
      <c r="K841" s="2" t="s">
        <v>586</v>
      </c>
      <c r="AD841" s="33" t="str">
        <f t="shared" si="52"/>
        <v>Tuesday</v>
      </c>
    </row>
    <row r="842" spans="1:30" x14ac:dyDescent="0.2">
      <c r="A842" s="3">
        <v>41443</v>
      </c>
      <c r="B842" s="2" t="s">
        <v>38</v>
      </c>
      <c r="C842" t="s">
        <v>48</v>
      </c>
      <c r="D842" t="s">
        <v>207</v>
      </c>
      <c r="E842" s="2">
        <v>45873</v>
      </c>
      <c r="F842" s="2" cm="1">
        <f t="array" ref="F842">_xlfn.IFS(B842="Owner Surrender",E842,B842="Stray",E842+6,B842="Stray w/identification",E842+11,B842="Bite",E842+10,B842="Other",E842+30,B842="BAS",E842+56,B842="Seized",E842)</f>
        <v>45879</v>
      </c>
      <c r="G842" s="2">
        <v>45886</v>
      </c>
      <c r="H842" s="5">
        <f t="shared" si="50"/>
        <v>13</v>
      </c>
      <c r="I842" s="5">
        <f t="shared" si="51"/>
        <v>7</v>
      </c>
      <c r="J842" s="2" t="s">
        <v>31</v>
      </c>
      <c r="K842" s="2" t="s">
        <v>587</v>
      </c>
      <c r="L842" t="s">
        <v>351</v>
      </c>
      <c r="M842" t="s">
        <v>605</v>
      </c>
      <c r="AD842" s="33" t="str">
        <f t="shared" si="52"/>
        <v>Sunday</v>
      </c>
    </row>
    <row r="843" spans="1:30" x14ac:dyDescent="0.2">
      <c r="A843" s="3">
        <v>41445</v>
      </c>
      <c r="B843" s="2" t="s">
        <v>36</v>
      </c>
      <c r="C843" t="s">
        <v>56</v>
      </c>
      <c r="D843" t="s">
        <v>207</v>
      </c>
      <c r="E843" s="2">
        <v>45873</v>
      </c>
      <c r="F843" s="2" cm="1">
        <f t="array" ref="F843">_xlfn.IFS(B843="Owner Surrender",E843,B843="Stray",E843+6,B843="Stray w/identification",E843+11,B843="Bite",E843+10,B843="Other",E843+30,B843="BAS",E843+56,B843="Seized",E843)</f>
        <v>45873</v>
      </c>
      <c r="G843" s="2">
        <v>45896</v>
      </c>
      <c r="H843" s="5">
        <f t="shared" si="50"/>
        <v>23</v>
      </c>
      <c r="I843" s="5">
        <f t="shared" si="51"/>
        <v>23</v>
      </c>
      <c r="J843" s="2" t="s">
        <v>18</v>
      </c>
      <c r="K843" s="2" t="s">
        <v>586</v>
      </c>
      <c r="M843" t="s">
        <v>606</v>
      </c>
      <c r="AD843" s="33" t="str">
        <f t="shared" si="52"/>
        <v>Wednesday</v>
      </c>
    </row>
    <row r="844" spans="1:30" x14ac:dyDescent="0.2">
      <c r="A844" s="3">
        <v>41451</v>
      </c>
      <c r="B844" s="2" t="s">
        <v>36</v>
      </c>
      <c r="C844" t="s">
        <v>62</v>
      </c>
      <c r="D844" t="s">
        <v>207</v>
      </c>
      <c r="E844" s="2">
        <v>45874</v>
      </c>
      <c r="F844" s="2" cm="1">
        <f t="array" ref="F844">_xlfn.IFS(B844="Owner Surrender",E844,B844="Stray",E844+6,B844="Stray w/identification",E844+11,B844="Bite",E844+10,B844="Other",E844+30,B844="BAS",E844+56,B844="Seized",E844)</f>
        <v>45874</v>
      </c>
      <c r="G844" s="2">
        <v>45877</v>
      </c>
      <c r="H844" s="5">
        <f t="shared" si="50"/>
        <v>3</v>
      </c>
      <c r="I844" s="5">
        <f t="shared" si="51"/>
        <v>3</v>
      </c>
      <c r="J844" s="2" t="s">
        <v>31</v>
      </c>
      <c r="K844" s="2" t="s">
        <v>587</v>
      </c>
      <c r="L844" t="s">
        <v>607</v>
      </c>
      <c r="AD844" s="33" t="str">
        <f t="shared" si="52"/>
        <v>Friday</v>
      </c>
    </row>
    <row r="845" spans="1:30" x14ac:dyDescent="0.2">
      <c r="A845" s="3">
        <v>41452</v>
      </c>
      <c r="B845" s="2" t="s">
        <v>36</v>
      </c>
      <c r="C845" t="s">
        <v>62</v>
      </c>
      <c r="D845" t="s">
        <v>207</v>
      </c>
      <c r="E845" s="2">
        <v>45874</v>
      </c>
      <c r="F845" s="2" cm="1">
        <f t="array" ref="F845">_xlfn.IFS(B845="Owner Surrender",E845,B845="Stray",E845+6,B845="Stray w/identification",E845+11,B845="Bite",E845+10,B845="Other",E845+30,B845="BAS",E845+56,B845="Seized",E845)</f>
        <v>45874</v>
      </c>
      <c r="G845" s="2">
        <v>45877</v>
      </c>
      <c r="H845" s="5">
        <f t="shared" si="50"/>
        <v>3</v>
      </c>
      <c r="I845" s="5">
        <f t="shared" si="51"/>
        <v>3</v>
      </c>
      <c r="J845" s="2" t="s">
        <v>31</v>
      </c>
      <c r="K845" s="2" t="s">
        <v>587</v>
      </c>
      <c r="L845" t="s">
        <v>608</v>
      </c>
      <c r="AD845" s="33" t="str">
        <f t="shared" si="52"/>
        <v>Friday</v>
      </c>
    </row>
    <row r="846" spans="1:30" x14ac:dyDescent="0.2">
      <c r="A846" s="3">
        <v>41453</v>
      </c>
      <c r="B846" s="2" t="s">
        <v>38</v>
      </c>
      <c r="C846" t="s">
        <v>507</v>
      </c>
      <c r="D846" t="s">
        <v>207</v>
      </c>
      <c r="E846" s="2">
        <v>45874</v>
      </c>
      <c r="F846" s="2" cm="1">
        <f t="array" ref="F846">_xlfn.IFS(B846="Owner Surrender",E846,B846="Stray",E846+6,B846="Stray w/identification",E846+11,B846="Bite",E846+10,B846="Other",E846+30,B846="BAS",E846+56,B846="Seized",E846)</f>
        <v>45880</v>
      </c>
      <c r="G846" s="2">
        <v>45903</v>
      </c>
      <c r="H846" s="5">
        <f t="shared" si="50"/>
        <v>29</v>
      </c>
      <c r="I846" s="5">
        <f t="shared" si="51"/>
        <v>23</v>
      </c>
      <c r="J846" s="2" t="s">
        <v>31</v>
      </c>
      <c r="K846" s="2" t="s">
        <v>587</v>
      </c>
      <c r="M846" t="s">
        <v>609</v>
      </c>
      <c r="AD846" s="33" t="str">
        <f t="shared" si="52"/>
        <v>Wednesday</v>
      </c>
    </row>
    <row r="847" spans="1:30" x14ac:dyDescent="0.2">
      <c r="A847" s="3">
        <v>41455</v>
      </c>
      <c r="B847" s="2" t="s">
        <v>38</v>
      </c>
      <c r="C847" t="s">
        <v>48</v>
      </c>
      <c r="D847" t="s">
        <v>207</v>
      </c>
      <c r="E847" s="2">
        <v>45874</v>
      </c>
      <c r="F847" s="2" cm="1">
        <f t="array" ref="F847">_xlfn.IFS(B847="Owner Surrender",E847,B847="Stray",E847+6,B847="Stray w/identification",E847+11,B847="Bite",E847+10,B847="Other",E847+30,B847="BAS",E847+56,B847="Seized",E847)</f>
        <v>45880</v>
      </c>
      <c r="G847" s="2">
        <v>45878</v>
      </c>
      <c r="H847" s="5">
        <f t="shared" si="50"/>
        <v>4</v>
      </c>
      <c r="I847" s="5">
        <f t="shared" si="51"/>
        <v>-2</v>
      </c>
      <c r="J847" s="2" t="s">
        <v>8</v>
      </c>
      <c r="K847" s="2" t="s">
        <v>586</v>
      </c>
      <c r="AD847" s="33" t="str">
        <f t="shared" si="52"/>
        <v>Saturday</v>
      </c>
    </row>
    <row r="848" spans="1:30" x14ac:dyDescent="0.2">
      <c r="A848" s="3">
        <v>41465</v>
      </c>
      <c r="B848" s="2" t="s">
        <v>36</v>
      </c>
      <c r="C848" t="s">
        <v>148</v>
      </c>
      <c r="D848" t="s">
        <v>207</v>
      </c>
      <c r="E848" s="2">
        <v>45875</v>
      </c>
      <c r="F848" s="2" cm="1">
        <f t="array" ref="F848">_xlfn.IFS(B848="Owner Surrender",E848,B848="Stray",E848+6,B848="Stray w/identification",E848+11,B848="Bite",E848+10,B848="Other",E848+30,B848="BAS",E848+56,B848="Seized",E848)</f>
        <v>45875</v>
      </c>
      <c r="G848" s="2">
        <v>45882</v>
      </c>
      <c r="H848" s="5">
        <f t="shared" si="50"/>
        <v>7</v>
      </c>
      <c r="I848" s="5">
        <f t="shared" si="51"/>
        <v>7</v>
      </c>
      <c r="J848" s="2" t="s">
        <v>18</v>
      </c>
      <c r="K848" s="2" t="s">
        <v>586</v>
      </c>
      <c r="M848" t="s">
        <v>19</v>
      </c>
      <c r="AD848" s="33" t="str">
        <f t="shared" si="52"/>
        <v>Wednesday</v>
      </c>
    </row>
    <row r="849" spans="1:30" x14ac:dyDescent="0.2">
      <c r="A849" s="3">
        <v>41468</v>
      </c>
      <c r="B849" s="2" t="s">
        <v>179</v>
      </c>
      <c r="C849" t="s">
        <v>48</v>
      </c>
      <c r="D849" t="s">
        <v>207</v>
      </c>
      <c r="E849" s="2">
        <v>45875</v>
      </c>
      <c r="F849" s="2" cm="1">
        <f t="array" ref="F849">_xlfn.IFS(B849="Owner Surrender",E849,B849="Stray",E849+6,B849="Stray w/identification",E849+11,B849="Bite",E849+10,B849="Other",E849+30,B849="BAS",E849+56,B849="Seized",E849)</f>
        <v>45886</v>
      </c>
      <c r="G849" s="2">
        <v>45891</v>
      </c>
      <c r="H849" s="5">
        <f t="shared" si="50"/>
        <v>16</v>
      </c>
      <c r="I849" s="5">
        <f t="shared" si="51"/>
        <v>5</v>
      </c>
      <c r="J849" s="2" t="s">
        <v>31</v>
      </c>
      <c r="K849" s="2" t="s">
        <v>587</v>
      </c>
      <c r="AD849" s="33" t="str">
        <f t="shared" si="52"/>
        <v>Friday</v>
      </c>
    </row>
    <row r="850" spans="1:30" x14ac:dyDescent="0.2">
      <c r="A850" s="3">
        <v>41472</v>
      </c>
      <c r="B850" s="2" t="s">
        <v>179</v>
      </c>
      <c r="C850" t="s">
        <v>148</v>
      </c>
      <c r="D850" t="s">
        <v>207</v>
      </c>
      <c r="E850" s="2">
        <v>45876</v>
      </c>
      <c r="F850" s="2" cm="1">
        <f t="array" ref="F850">_xlfn.IFS(B850="Owner Surrender",E850,B850="Stray",E850+6,B850="Stray w/identification",E850+11,B850="Bite",E850+10,B850="Other",E850+30,B850="BAS",E850+56,B850="Seized",E850)</f>
        <v>45887</v>
      </c>
      <c r="G850" s="2">
        <v>45891</v>
      </c>
      <c r="H850" s="5">
        <f t="shared" si="50"/>
        <v>15</v>
      </c>
      <c r="I850" s="5">
        <f t="shared" si="51"/>
        <v>4</v>
      </c>
      <c r="J850" s="2" t="s">
        <v>31</v>
      </c>
      <c r="K850" s="2" t="s">
        <v>587</v>
      </c>
      <c r="AD850" s="33" t="str">
        <f t="shared" si="52"/>
        <v>Friday</v>
      </c>
    </row>
    <row r="851" spans="1:30" x14ac:dyDescent="0.2">
      <c r="A851" s="3">
        <v>41477</v>
      </c>
      <c r="B851" s="2" t="s">
        <v>60</v>
      </c>
      <c r="C851" t="s">
        <v>104</v>
      </c>
      <c r="D851" t="s">
        <v>209</v>
      </c>
      <c r="E851" s="2">
        <v>45876</v>
      </c>
      <c r="F851" s="2" cm="1">
        <f t="array" ref="F851">_xlfn.IFS(B851="Owner Surrender",E851,B851="Stray",E851+6,B851="Stray w/identification",E851+11,B851="Bite",E851+10,B851="Other",E851+30,B851="BAS",E851+56,B851="Seized",E851)</f>
        <v>45906</v>
      </c>
      <c r="G851" s="2">
        <v>45909</v>
      </c>
      <c r="H851" s="5">
        <f t="shared" si="50"/>
        <v>33</v>
      </c>
      <c r="I851" s="5">
        <f t="shared" si="51"/>
        <v>3</v>
      </c>
      <c r="J851" s="2" t="s">
        <v>11</v>
      </c>
      <c r="K851" s="2" t="s">
        <v>586</v>
      </c>
      <c r="M851" t="s">
        <v>52</v>
      </c>
      <c r="AD851" s="33" t="str">
        <f t="shared" si="52"/>
        <v>Tuesday</v>
      </c>
    </row>
    <row r="852" spans="1:30" x14ac:dyDescent="0.2">
      <c r="A852" s="3">
        <v>41478</v>
      </c>
      <c r="B852" s="2" t="s">
        <v>36</v>
      </c>
      <c r="C852" t="s">
        <v>48</v>
      </c>
      <c r="D852" t="s">
        <v>209</v>
      </c>
      <c r="E852" s="2">
        <v>45876</v>
      </c>
      <c r="F852" s="2" cm="1">
        <f t="array" ref="F852">_xlfn.IFS(B852="Owner Surrender",E852,B852="Stray",E852+6,B852="Stray w/identification",E852+11,B852="Bite",E852+10,B852="Other",E852+30,B852="BAS",E852+56,B852="Seized",E852)</f>
        <v>45876</v>
      </c>
      <c r="G852" s="2">
        <v>45882</v>
      </c>
      <c r="H852" s="5">
        <f t="shared" si="50"/>
        <v>6</v>
      </c>
      <c r="I852" s="5">
        <f t="shared" si="51"/>
        <v>6</v>
      </c>
      <c r="J852" s="2" t="s">
        <v>31</v>
      </c>
      <c r="K852" s="2" t="s">
        <v>587</v>
      </c>
      <c r="L852" t="s">
        <v>243</v>
      </c>
      <c r="AD852" s="33" t="str">
        <f t="shared" si="52"/>
        <v>Wednesday</v>
      </c>
    </row>
    <row r="853" spans="1:30" x14ac:dyDescent="0.2">
      <c r="A853" s="3">
        <v>41479</v>
      </c>
      <c r="B853" s="2" t="s">
        <v>60</v>
      </c>
      <c r="C853" t="s">
        <v>49</v>
      </c>
      <c r="D853" t="s">
        <v>207</v>
      </c>
      <c r="E853" s="2">
        <v>45876</v>
      </c>
      <c r="F853" s="2" cm="1">
        <f t="array" ref="F853">_xlfn.IFS(B853="Owner Surrender",E853,B853="Stray",E853+6,B853="Stray w/identification",E853+11,B853="Bite",E853+10,B853="Other",E853+30,B853="BAS",E853+56,B853="Seized",E853)</f>
        <v>45906</v>
      </c>
      <c r="H853" s="5">
        <f t="shared" si="50"/>
        <v>-45876</v>
      </c>
      <c r="I853" s="5">
        <f t="shared" si="51"/>
        <v>-45906</v>
      </c>
      <c r="J853" s="2" t="s">
        <v>21</v>
      </c>
      <c r="K853" s="2" t="s">
        <v>586</v>
      </c>
      <c r="M853" t="s">
        <v>610</v>
      </c>
      <c r="AD853" s="33" t="str">
        <f t="shared" si="52"/>
        <v>Saturday</v>
      </c>
    </row>
    <row r="854" spans="1:30" x14ac:dyDescent="0.2">
      <c r="A854" s="3">
        <v>41490</v>
      </c>
      <c r="B854" s="2" t="s">
        <v>179</v>
      </c>
      <c r="C854" t="s">
        <v>75</v>
      </c>
      <c r="D854" t="s">
        <v>207</v>
      </c>
      <c r="E854" s="2">
        <v>45877</v>
      </c>
      <c r="F854" s="2" cm="1">
        <f t="array" ref="F854">_xlfn.IFS(B854="Owner Surrender",E854,B854="Stray",E854+6,B854="Stray w/identification",E854+11,B854="Bite",E854+10,B854="Other",E854+30,B854="BAS",E854+56,B854="Seized",E854)</f>
        <v>45888</v>
      </c>
      <c r="G854" s="2">
        <v>45881</v>
      </c>
      <c r="H854" s="5">
        <f t="shared" si="50"/>
        <v>4</v>
      </c>
      <c r="I854" s="5">
        <f t="shared" si="51"/>
        <v>-7</v>
      </c>
      <c r="J854" s="2" t="s">
        <v>8</v>
      </c>
      <c r="K854" s="2" t="s">
        <v>586</v>
      </c>
      <c r="AD854" s="33" t="str">
        <f t="shared" si="52"/>
        <v>Tuesday</v>
      </c>
    </row>
    <row r="855" spans="1:30" x14ac:dyDescent="0.2">
      <c r="A855" s="3">
        <v>41491</v>
      </c>
      <c r="B855" s="2" t="s">
        <v>38</v>
      </c>
      <c r="C855" t="s">
        <v>75</v>
      </c>
      <c r="D855" t="s">
        <v>207</v>
      </c>
      <c r="E855" s="2">
        <v>45877</v>
      </c>
      <c r="F855" s="2" cm="1">
        <f t="array" ref="F855">_xlfn.IFS(B855="Owner Surrender",E855,B855="Stray",E855+6,B855="Stray w/identification",E855+11,B855="Bite",E855+10,B855="Other",E855+30,B855="BAS",E855+56,B855="Seized",E855)</f>
        <v>45883</v>
      </c>
      <c r="G855" s="2">
        <v>45881</v>
      </c>
      <c r="H855" s="5">
        <f t="shared" si="50"/>
        <v>4</v>
      </c>
      <c r="I855" s="5">
        <f t="shared" si="51"/>
        <v>-2</v>
      </c>
      <c r="J855" s="2" t="s">
        <v>8</v>
      </c>
      <c r="K855" s="2" t="s">
        <v>586</v>
      </c>
      <c r="AD855" s="33" t="str">
        <f t="shared" si="52"/>
        <v>Tuesday</v>
      </c>
    </row>
    <row r="856" spans="1:30" x14ac:dyDescent="0.2">
      <c r="A856" s="3">
        <v>41496</v>
      </c>
      <c r="B856" s="2" t="s">
        <v>38</v>
      </c>
      <c r="C856" t="s">
        <v>507</v>
      </c>
      <c r="D856" t="s">
        <v>207</v>
      </c>
      <c r="E856" s="2">
        <v>45877</v>
      </c>
      <c r="F856" s="2" cm="1">
        <f t="array" ref="F856">_xlfn.IFS(B856="Owner Surrender",E856,B856="Stray",E856+6,B856="Stray w/identification",E856+11,B856="Bite",E856+10,B856="Other",E856+30,B856="BAS",E856+56,B856="Seized",E856)</f>
        <v>45883</v>
      </c>
      <c r="G856" s="2">
        <v>45877</v>
      </c>
      <c r="H856" s="5">
        <f t="shared" si="50"/>
        <v>0</v>
      </c>
      <c r="I856" s="5">
        <f t="shared" si="51"/>
        <v>-6</v>
      </c>
      <c r="J856" s="2" t="s">
        <v>8</v>
      </c>
      <c r="K856" s="2" t="s">
        <v>586</v>
      </c>
      <c r="AD856" s="33" t="str">
        <f t="shared" si="52"/>
        <v>Friday</v>
      </c>
    </row>
    <row r="857" spans="1:30" x14ac:dyDescent="0.2">
      <c r="A857" s="3">
        <v>41497</v>
      </c>
      <c r="B857" s="2" t="s">
        <v>36</v>
      </c>
      <c r="C857" t="s">
        <v>61</v>
      </c>
      <c r="D857" t="s">
        <v>207</v>
      </c>
      <c r="E857" s="2">
        <v>45877</v>
      </c>
      <c r="F857" s="2" cm="1">
        <f t="array" ref="F857">_xlfn.IFS(B857="Owner Surrender",E857,B857="Stray",E857+6,B857="Stray w/identification",E857+11,B857="Bite",E857+10,B857="Other",E857+30,B857="BAS",E857+56,B857="Seized",E857)</f>
        <v>45877</v>
      </c>
      <c r="G857" s="2">
        <v>45882</v>
      </c>
      <c r="H857" s="5">
        <f t="shared" si="50"/>
        <v>5</v>
      </c>
      <c r="I857" s="5">
        <f t="shared" si="51"/>
        <v>5</v>
      </c>
      <c r="J857" s="2" t="s">
        <v>31</v>
      </c>
      <c r="K857" s="2" t="s">
        <v>587</v>
      </c>
      <c r="L857" t="s">
        <v>611</v>
      </c>
      <c r="AD857" s="33" t="str">
        <f t="shared" si="52"/>
        <v>Wednesday</v>
      </c>
    </row>
    <row r="858" spans="1:30" x14ac:dyDescent="0.2">
      <c r="A858" s="3">
        <v>41498</v>
      </c>
      <c r="B858" s="2" t="s">
        <v>36</v>
      </c>
      <c r="C858" t="s">
        <v>107</v>
      </c>
      <c r="D858" t="s">
        <v>210</v>
      </c>
      <c r="E858" s="2">
        <v>45877</v>
      </c>
      <c r="F858" s="2" cm="1">
        <f t="array" ref="F858">_xlfn.IFS(B858="Owner Surrender",E858,B858="Stray",E858+6,B858="Stray w/identification",E858+11,B858="Bite",E858+10,B858="Other",E858+30,B858="BAS",E858+56,B858="Seized",E858)</f>
        <v>45877</v>
      </c>
      <c r="G858" s="2">
        <v>45882</v>
      </c>
      <c r="H858" s="5">
        <f t="shared" si="50"/>
        <v>5</v>
      </c>
      <c r="I858" s="5">
        <f t="shared" si="51"/>
        <v>5</v>
      </c>
      <c r="J858" s="2" t="s">
        <v>31</v>
      </c>
      <c r="K858" s="2" t="s">
        <v>587</v>
      </c>
      <c r="L858" t="s">
        <v>612</v>
      </c>
      <c r="AD858" s="33" t="str">
        <f t="shared" si="52"/>
        <v>Wednesday</v>
      </c>
    </row>
    <row r="859" spans="1:30" x14ac:dyDescent="0.2">
      <c r="A859" s="3">
        <v>41506</v>
      </c>
      <c r="B859" s="2" t="s">
        <v>36</v>
      </c>
      <c r="C859" t="s">
        <v>49</v>
      </c>
      <c r="D859" t="s">
        <v>208</v>
      </c>
      <c r="E859" s="2">
        <v>45879</v>
      </c>
      <c r="F859" s="2" cm="1">
        <f t="array" ref="F859">_xlfn.IFS(B859="Owner Surrender",E859,B859="Stray",E859+6,B859="Stray w/identification",E859+11,B859="Bite",E859+10,B859="Other",E859+30,B859="BAS",E859+56,B859="Seized",E859)</f>
        <v>45879</v>
      </c>
      <c r="G859" s="2">
        <v>45891</v>
      </c>
      <c r="H859" s="5">
        <f t="shared" si="50"/>
        <v>12</v>
      </c>
      <c r="I859" s="5">
        <f t="shared" si="51"/>
        <v>12</v>
      </c>
      <c r="J859" s="2" t="s">
        <v>31</v>
      </c>
      <c r="K859" s="2" t="s">
        <v>587</v>
      </c>
      <c r="AD859" s="33" t="str">
        <f t="shared" si="52"/>
        <v>Friday</v>
      </c>
    </row>
    <row r="860" spans="1:30" x14ac:dyDescent="0.2">
      <c r="A860" s="3">
        <v>41509</v>
      </c>
      <c r="B860" s="2" t="s">
        <v>60</v>
      </c>
      <c r="C860" t="s">
        <v>55</v>
      </c>
      <c r="D860" t="s">
        <v>207</v>
      </c>
      <c r="E860" s="2">
        <v>45873</v>
      </c>
      <c r="F860" s="2" cm="1">
        <f t="array" ref="F860">_xlfn.IFS(B860="Owner Surrender",E860,B860="Stray",E860+6,B860="Stray w/identification",E860+11,B860="Bite",E860+10,B860="Other",E860+30,B860="BAS",E860+56,B860="Seized",E860)</f>
        <v>45903</v>
      </c>
      <c r="G860" s="2">
        <v>45880</v>
      </c>
      <c r="H860" s="5">
        <f t="shared" si="50"/>
        <v>7</v>
      </c>
      <c r="I860" s="5">
        <f t="shared" si="51"/>
        <v>-23</v>
      </c>
      <c r="J860" s="2" t="s">
        <v>8</v>
      </c>
      <c r="K860" s="2" t="s">
        <v>586</v>
      </c>
      <c r="M860" t="s">
        <v>9</v>
      </c>
      <c r="AD860" s="33" t="str">
        <f t="shared" si="52"/>
        <v>Monday</v>
      </c>
    </row>
    <row r="861" spans="1:30" x14ac:dyDescent="0.2">
      <c r="A861" s="3">
        <v>41510</v>
      </c>
      <c r="B861" s="2" t="s">
        <v>38</v>
      </c>
      <c r="C861" t="s">
        <v>89</v>
      </c>
      <c r="D861" t="s">
        <v>207</v>
      </c>
      <c r="E861" s="2">
        <v>45880</v>
      </c>
      <c r="F861" s="2" cm="1">
        <f t="array" ref="F861">_xlfn.IFS(B861="Owner Surrender",E861,B861="Stray",E861+6,B861="Stray w/identification",E861+11,B861="Bite",E861+10,B861="Other",E861+30,B861="BAS",E861+56,B861="Seized",E861)</f>
        <v>45886</v>
      </c>
      <c r="G861" s="2">
        <v>45890</v>
      </c>
      <c r="H861" s="5">
        <f t="shared" si="50"/>
        <v>10</v>
      </c>
      <c r="I861" s="5">
        <f t="shared" si="51"/>
        <v>4</v>
      </c>
      <c r="J861" s="2" t="s">
        <v>11</v>
      </c>
      <c r="K861" s="2" t="s">
        <v>586</v>
      </c>
      <c r="AD861" s="33" t="str">
        <f t="shared" si="52"/>
        <v>Thursday</v>
      </c>
    </row>
    <row r="862" spans="1:30" x14ac:dyDescent="0.2">
      <c r="A862" s="3">
        <v>41514</v>
      </c>
      <c r="B862" s="2" t="s">
        <v>36</v>
      </c>
      <c r="C862" t="s">
        <v>49</v>
      </c>
      <c r="D862" t="s">
        <v>208</v>
      </c>
      <c r="E862" s="2">
        <v>45880</v>
      </c>
      <c r="F862" s="2" cm="1">
        <f t="array" ref="F862">_xlfn.IFS(B862="Owner Surrender",E862,B862="Stray",E862+6,B862="Stray w/identification",E862+11,B862="Bite",E862+10,B862="Other",E862+30,B862="BAS",E862+56,B862="Seized",E862)</f>
        <v>45880</v>
      </c>
      <c r="G862" s="31"/>
      <c r="H862" s="5">
        <f t="shared" si="50"/>
        <v>-45880</v>
      </c>
      <c r="I862" s="5">
        <f t="shared" si="51"/>
        <v>-45880</v>
      </c>
      <c r="J862" s="4"/>
      <c r="AD862" s="33" t="str">
        <f t="shared" si="52"/>
        <v>Saturday</v>
      </c>
    </row>
    <row r="863" spans="1:30" x14ac:dyDescent="0.2">
      <c r="A863" s="3">
        <v>41515</v>
      </c>
      <c r="B863" s="2" t="s">
        <v>36</v>
      </c>
      <c r="C863" t="s">
        <v>55</v>
      </c>
      <c r="D863" t="s">
        <v>209</v>
      </c>
      <c r="E863" s="2">
        <v>45880</v>
      </c>
      <c r="F863" s="2" cm="1">
        <f t="array" ref="F863">_xlfn.IFS(B863="Owner Surrender",E863,B863="Stray",E863+6,B863="Stray w/identification",E863+11,B863="Bite",E863+10,B863="Other",E863+30,B863="BAS",E863+56,B863="Seized",E863)</f>
        <v>45880</v>
      </c>
      <c r="G863" s="2">
        <v>45894</v>
      </c>
      <c r="H863" s="5">
        <f t="shared" si="50"/>
        <v>14</v>
      </c>
      <c r="I863" s="5">
        <f t="shared" si="51"/>
        <v>14</v>
      </c>
      <c r="J863" s="2" t="s">
        <v>18</v>
      </c>
      <c r="K863" s="2" t="s">
        <v>586</v>
      </c>
      <c r="M863" t="s">
        <v>19</v>
      </c>
      <c r="AD863" s="33" t="str">
        <f t="shared" si="52"/>
        <v>Monday</v>
      </c>
    </row>
    <row r="864" spans="1:30" x14ac:dyDescent="0.2">
      <c r="A864" s="3">
        <v>41516</v>
      </c>
      <c r="B864" s="2" t="s">
        <v>36</v>
      </c>
      <c r="C864" t="s">
        <v>48</v>
      </c>
      <c r="D864" t="s">
        <v>208</v>
      </c>
      <c r="E864" s="2">
        <v>45880</v>
      </c>
      <c r="F864" s="2" cm="1">
        <f t="array" ref="F864">_xlfn.IFS(B864="Owner Surrender",E864,B864="Stray",E864+6,B864="Stray w/identification",E864+11,B864="Bite",E864+10,B864="Other",E864+30,B864="BAS",E864+56,B864="Seized",E864)</f>
        <v>45880</v>
      </c>
      <c r="G864" s="2">
        <v>45886</v>
      </c>
      <c r="H864" s="5">
        <f t="shared" si="50"/>
        <v>6</v>
      </c>
      <c r="I864" s="5">
        <f t="shared" si="51"/>
        <v>6</v>
      </c>
      <c r="J864" s="2" t="s">
        <v>31</v>
      </c>
      <c r="K864" s="2" t="s">
        <v>587</v>
      </c>
      <c r="AD864" s="33" t="str">
        <f t="shared" si="52"/>
        <v>Sunday</v>
      </c>
    </row>
    <row r="865" spans="1:30" x14ac:dyDescent="0.2">
      <c r="A865" s="3">
        <v>41517</v>
      </c>
      <c r="B865" s="2" t="s">
        <v>36</v>
      </c>
      <c r="C865" t="s">
        <v>48</v>
      </c>
      <c r="D865" t="s">
        <v>209</v>
      </c>
      <c r="E865" s="2">
        <v>45880</v>
      </c>
      <c r="F865" s="2" cm="1">
        <f t="array" ref="F865">_xlfn.IFS(B865="Owner Surrender",E865,B865="Stray",E865+6,B865="Stray w/identification",E865+11,B865="Bite",E865+10,B865="Other",E865+30,B865="BAS",E865+56,B865="Seized",E865)</f>
        <v>45880</v>
      </c>
      <c r="G865" s="2">
        <v>45882</v>
      </c>
      <c r="H865" s="5">
        <f t="shared" si="50"/>
        <v>2</v>
      </c>
      <c r="I865" s="5">
        <f t="shared" si="51"/>
        <v>2</v>
      </c>
      <c r="J865" s="2" t="s">
        <v>31</v>
      </c>
      <c r="K865" s="2" t="s">
        <v>587</v>
      </c>
      <c r="L865" t="s">
        <v>613</v>
      </c>
      <c r="AD865" s="33" t="str">
        <f t="shared" si="52"/>
        <v>Wednesday</v>
      </c>
    </row>
    <row r="866" spans="1:30" x14ac:dyDescent="0.2">
      <c r="A866" s="3">
        <v>41525</v>
      </c>
      <c r="B866" s="2" t="s">
        <v>179</v>
      </c>
      <c r="C866" t="s">
        <v>69</v>
      </c>
      <c r="D866" t="s">
        <v>207</v>
      </c>
      <c r="E866" s="2">
        <v>45881</v>
      </c>
      <c r="F866" s="2" cm="1">
        <f t="array" ref="F866">_xlfn.IFS(B866="Owner Surrender",E866,B866="Stray",E866+6,B866="Stray w/identification",E866+11,B866="Bite",E866+10,B866="Other",E866+30,B866="BAS",E866+56,B866="Seized",E866)</f>
        <v>45892</v>
      </c>
      <c r="G866" s="2">
        <v>45905</v>
      </c>
      <c r="H866" s="5">
        <f t="shared" si="50"/>
        <v>24</v>
      </c>
      <c r="I866" s="5">
        <f t="shared" si="51"/>
        <v>13</v>
      </c>
      <c r="J866" s="2" t="s">
        <v>18</v>
      </c>
      <c r="K866" s="2" t="s">
        <v>586</v>
      </c>
      <c r="M866" t="s">
        <v>19</v>
      </c>
      <c r="AD866" s="33" t="str">
        <f t="shared" si="52"/>
        <v>Friday</v>
      </c>
    </row>
    <row r="867" spans="1:30" x14ac:dyDescent="0.2">
      <c r="A867" s="3">
        <v>41526</v>
      </c>
      <c r="B867" s="2" t="s">
        <v>179</v>
      </c>
      <c r="C867" t="s">
        <v>48</v>
      </c>
      <c r="D867" t="s">
        <v>207</v>
      </c>
      <c r="E867" s="2">
        <v>45880</v>
      </c>
      <c r="F867" s="2" cm="1">
        <f t="array" ref="F867">_xlfn.IFS(B867="Owner Surrender",E867,B867="Stray",E867+6,B867="Stray w/identification",E867+11,B867="Bite",E867+10,B867="Other",E867+30,B867="BAS",E867+56,B867="Seized",E867)</f>
        <v>45891</v>
      </c>
      <c r="G867" s="2">
        <v>45881</v>
      </c>
      <c r="H867" s="5">
        <f t="shared" si="50"/>
        <v>1</v>
      </c>
      <c r="I867" s="5">
        <f t="shared" si="51"/>
        <v>-10</v>
      </c>
      <c r="J867" s="2" t="s">
        <v>8</v>
      </c>
      <c r="K867" s="2" t="s">
        <v>586</v>
      </c>
      <c r="L867" t="s">
        <v>614</v>
      </c>
      <c r="AD867" s="33" t="str">
        <f t="shared" si="52"/>
        <v>Tuesday</v>
      </c>
    </row>
    <row r="868" spans="1:30" x14ac:dyDescent="0.2">
      <c r="A868" s="3">
        <v>41527</v>
      </c>
      <c r="B868" s="2" t="s">
        <v>179</v>
      </c>
      <c r="C868" t="s">
        <v>108</v>
      </c>
      <c r="D868" t="s">
        <v>207</v>
      </c>
      <c r="E868" s="2">
        <v>45881</v>
      </c>
      <c r="F868" s="2" cm="1">
        <f t="array" ref="F868">_xlfn.IFS(B868="Owner Surrender",E868,B868="Stray",E868+6,B868="Stray w/identification",E868+11,B868="Bite",E868+10,B868="Other",E868+30,B868="BAS",E868+56,B868="Seized",E868)</f>
        <v>45892</v>
      </c>
      <c r="G868" s="2">
        <v>45895</v>
      </c>
      <c r="H868" s="5">
        <f t="shared" si="50"/>
        <v>14</v>
      </c>
      <c r="I868" s="5">
        <f t="shared" si="51"/>
        <v>3</v>
      </c>
      <c r="J868" s="2" t="s">
        <v>8</v>
      </c>
      <c r="K868" s="2" t="s">
        <v>586</v>
      </c>
      <c r="AD868" s="33" t="str">
        <f t="shared" si="52"/>
        <v>Tuesday</v>
      </c>
    </row>
    <row r="869" spans="1:30" x14ac:dyDescent="0.2">
      <c r="A869" s="3">
        <v>41528</v>
      </c>
      <c r="B869" s="2" t="s">
        <v>179</v>
      </c>
      <c r="C869" t="s">
        <v>72</v>
      </c>
      <c r="D869" t="s">
        <v>207</v>
      </c>
      <c r="E869" s="2">
        <v>45881</v>
      </c>
      <c r="F869" s="2" cm="1">
        <f t="array" ref="F869">_xlfn.IFS(B869="Owner Surrender",E869,B869="Stray",E869+6,B869="Stray w/identification",E869+11,B869="Bite",E869+10,B869="Other",E869+30,B869="BAS",E869+56,B869="Seized",E869)</f>
        <v>45892</v>
      </c>
      <c r="G869" s="2">
        <v>45895</v>
      </c>
      <c r="H869" s="5">
        <f t="shared" si="50"/>
        <v>14</v>
      </c>
      <c r="I869" s="5">
        <f t="shared" si="51"/>
        <v>3</v>
      </c>
      <c r="J869" s="2" t="s">
        <v>8</v>
      </c>
      <c r="K869" s="2" t="s">
        <v>586</v>
      </c>
      <c r="AD869" s="33" t="str">
        <f t="shared" si="52"/>
        <v>Tuesday</v>
      </c>
    </row>
    <row r="870" spans="1:30" x14ac:dyDescent="0.2">
      <c r="A870" s="3">
        <v>41530</v>
      </c>
      <c r="B870" s="2" t="s">
        <v>38</v>
      </c>
      <c r="C870" t="s">
        <v>75</v>
      </c>
      <c r="D870" t="s">
        <v>207</v>
      </c>
      <c r="E870" s="2">
        <v>45881</v>
      </c>
      <c r="F870" s="2" cm="1">
        <f t="array" ref="F870">_xlfn.IFS(B870="Owner Surrender",E870,B870="Stray",E870+6,B870="Stray w/identification",E870+11,B870="Bite",E870+10,B870="Other",E870+30,B870="BAS",E870+56,B870="Seized",E870)</f>
        <v>45887</v>
      </c>
      <c r="G870" s="2">
        <v>45881</v>
      </c>
      <c r="H870" s="5">
        <f t="shared" si="50"/>
        <v>0</v>
      </c>
      <c r="I870" s="5">
        <f t="shared" si="51"/>
        <v>-6</v>
      </c>
      <c r="J870" s="2" t="s">
        <v>8</v>
      </c>
      <c r="K870" s="2" t="s">
        <v>586</v>
      </c>
      <c r="AD870" s="33" t="str">
        <f t="shared" si="52"/>
        <v>Tuesday</v>
      </c>
    </row>
    <row r="871" spans="1:30" x14ac:dyDescent="0.2">
      <c r="A871" s="3">
        <v>41532</v>
      </c>
      <c r="B871" s="2" t="s">
        <v>38</v>
      </c>
      <c r="C871" t="s">
        <v>75</v>
      </c>
      <c r="D871" t="s">
        <v>209</v>
      </c>
      <c r="E871" s="2">
        <v>45882</v>
      </c>
      <c r="F871" s="2" cm="1">
        <f t="array" ref="F871">_xlfn.IFS(B871="Owner Surrender",E871,B871="Stray",E871+6,B871="Stray w/identification",E871+11,B871="Bite",E871+10,B871="Other",E871+30,B871="BAS",E871+56,B871="Seized",E871)</f>
        <v>45888</v>
      </c>
      <c r="G871" s="2">
        <v>45889</v>
      </c>
      <c r="H871" s="5">
        <f t="shared" si="50"/>
        <v>7</v>
      </c>
      <c r="I871" s="5">
        <f t="shared" si="51"/>
        <v>1</v>
      </c>
      <c r="J871" s="2" t="s">
        <v>18</v>
      </c>
      <c r="K871" s="2" t="s">
        <v>586</v>
      </c>
      <c r="M871" t="s">
        <v>19</v>
      </c>
      <c r="AD871" s="33" t="str">
        <f t="shared" si="52"/>
        <v>Wednesday</v>
      </c>
    </row>
    <row r="872" spans="1:30" x14ac:dyDescent="0.2">
      <c r="A872" s="3">
        <v>41533</v>
      </c>
      <c r="B872" s="2" t="s">
        <v>36</v>
      </c>
      <c r="C872" t="s">
        <v>169</v>
      </c>
      <c r="D872" t="s">
        <v>207</v>
      </c>
      <c r="E872" s="2">
        <v>45882</v>
      </c>
      <c r="F872" s="2" cm="1">
        <f t="array" ref="F872">_xlfn.IFS(B872="Owner Surrender",E872,B872="Stray",E872+6,B872="Stray w/identification",E872+11,B872="Bite",E872+10,B872="Other",E872+30,B872="BAS",E872+56,B872="Seized",E872)</f>
        <v>45882</v>
      </c>
      <c r="G872" s="2">
        <v>45887</v>
      </c>
      <c r="H872" s="5">
        <f t="shared" si="50"/>
        <v>5</v>
      </c>
      <c r="I872" s="5">
        <f t="shared" si="51"/>
        <v>5</v>
      </c>
      <c r="J872" s="2" t="s">
        <v>18</v>
      </c>
      <c r="K872" s="2" t="s">
        <v>586</v>
      </c>
      <c r="M872" t="s">
        <v>19</v>
      </c>
      <c r="N872" s="4" t="s">
        <v>620</v>
      </c>
      <c r="AD872" s="33" t="str">
        <f t="shared" si="52"/>
        <v>Monday</v>
      </c>
    </row>
    <row r="873" spans="1:30" x14ac:dyDescent="0.2">
      <c r="A873" s="3">
        <v>41536</v>
      </c>
      <c r="B873" s="2" t="s">
        <v>36</v>
      </c>
      <c r="C873" t="s">
        <v>55</v>
      </c>
      <c r="D873" t="s">
        <v>209</v>
      </c>
      <c r="E873" s="2">
        <v>45882</v>
      </c>
      <c r="F873" s="2" cm="1">
        <f t="array" ref="F873">_xlfn.IFS(B873="Owner Surrender",E873,B873="Stray",E873+6,B873="Stray w/identification",E873+11,B873="Bite",E873+10,B873="Other",E873+30,B873="BAS",E873+56,B873="Seized",E873)</f>
        <v>45882</v>
      </c>
      <c r="G873" s="2">
        <v>45889</v>
      </c>
      <c r="H873" s="5">
        <f t="shared" si="50"/>
        <v>7</v>
      </c>
      <c r="I873" s="5">
        <f t="shared" si="51"/>
        <v>7</v>
      </c>
      <c r="J873" s="2" t="s">
        <v>18</v>
      </c>
      <c r="K873" s="2" t="s">
        <v>586</v>
      </c>
      <c r="M873" t="s">
        <v>19</v>
      </c>
      <c r="AD873" s="33" t="str">
        <f t="shared" si="52"/>
        <v>Wednesday</v>
      </c>
    </row>
    <row r="874" spans="1:30" x14ac:dyDescent="0.2">
      <c r="A874" s="3">
        <v>41537</v>
      </c>
      <c r="B874" s="2" t="s">
        <v>38</v>
      </c>
      <c r="C874" t="s">
        <v>148</v>
      </c>
      <c r="D874" t="s">
        <v>208</v>
      </c>
      <c r="E874" s="2">
        <v>45883</v>
      </c>
      <c r="F874" s="2" cm="1">
        <f t="array" ref="F874">_xlfn.IFS(B874="Owner Surrender",E874,B874="Stray",E874+6,B874="Stray w/identification",E874+11,B874="Bite",E874+10,B874="Other",E874+30,B874="BAS",E874+56,B874="Seized",E874)</f>
        <v>45889</v>
      </c>
      <c r="G874" s="2">
        <v>45883</v>
      </c>
      <c r="H874" s="5">
        <f t="shared" si="50"/>
        <v>0</v>
      </c>
      <c r="I874" s="5">
        <f t="shared" si="51"/>
        <v>-6</v>
      </c>
      <c r="J874" s="2" t="s">
        <v>31</v>
      </c>
      <c r="K874" s="2" t="s">
        <v>143</v>
      </c>
      <c r="AD874" s="33" t="str">
        <f t="shared" si="52"/>
        <v>Thursday</v>
      </c>
    </row>
    <row r="875" spans="1:30" x14ac:dyDescent="0.2">
      <c r="A875" s="3">
        <v>41538</v>
      </c>
      <c r="B875" s="2" t="s">
        <v>179</v>
      </c>
      <c r="C875" t="s">
        <v>164</v>
      </c>
      <c r="D875" t="s">
        <v>207</v>
      </c>
      <c r="E875" s="2">
        <v>45883</v>
      </c>
      <c r="F875" s="2" cm="1">
        <f t="array" ref="F875">_xlfn.IFS(B875="Owner Surrender",E875,B875="Stray",E875+6,B875="Stray w/identification",E875+11,B875="Bite",E875+10,B875="Other",E875+30,B875="BAS",E875+56,B875="Seized",E875)</f>
        <v>45894</v>
      </c>
      <c r="G875" s="2">
        <v>45902</v>
      </c>
      <c r="H875" s="5">
        <f t="shared" si="50"/>
        <v>19</v>
      </c>
      <c r="I875" s="5">
        <f t="shared" si="51"/>
        <v>8</v>
      </c>
      <c r="J875" s="2" t="s">
        <v>8</v>
      </c>
      <c r="K875" s="2" t="s">
        <v>586</v>
      </c>
      <c r="AD875" s="33" t="str">
        <f t="shared" si="52"/>
        <v>Tuesday</v>
      </c>
    </row>
    <row r="876" spans="1:30" x14ac:dyDescent="0.2">
      <c r="A876" s="3">
        <v>41539</v>
      </c>
      <c r="B876" s="2" t="s">
        <v>38</v>
      </c>
      <c r="C876" t="s">
        <v>164</v>
      </c>
      <c r="D876" t="s">
        <v>207</v>
      </c>
      <c r="E876" s="2">
        <v>45883</v>
      </c>
      <c r="F876" s="2" cm="1">
        <f t="array" ref="F876">_xlfn.IFS(B876="Owner Surrender",E876,B876="Stray",E876+6,B876="Stray w/identification",E876+11,B876="Bite",E876+10,B876="Other",E876+30,B876="BAS",E876+56,B876="Seized",E876)</f>
        <v>45889</v>
      </c>
      <c r="G876" s="2">
        <v>45902</v>
      </c>
      <c r="H876" s="5">
        <f t="shared" si="50"/>
        <v>19</v>
      </c>
      <c r="I876" s="5">
        <f t="shared" si="51"/>
        <v>13</v>
      </c>
      <c r="J876" s="2" t="s">
        <v>8</v>
      </c>
      <c r="K876" s="2" t="s">
        <v>586</v>
      </c>
      <c r="AD876" s="33" t="str">
        <f t="shared" si="52"/>
        <v>Tuesday</v>
      </c>
    </row>
    <row r="877" spans="1:30" x14ac:dyDescent="0.2">
      <c r="A877" s="3">
        <v>41540</v>
      </c>
      <c r="B877" s="2" t="s">
        <v>38</v>
      </c>
      <c r="C877" t="s">
        <v>55</v>
      </c>
      <c r="D877" t="s">
        <v>207</v>
      </c>
      <c r="E877" s="2">
        <v>45883</v>
      </c>
      <c r="F877" s="2" cm="1">
        <f t="array" ref="F877">_xlfn.IFS(B877="Owner Surrender",E877,B877="Stray",E877+6,B877="Stray w/identification",E877+11,B877="Bite",E877+10,B877="Other",E877+30,B877="BAS",E877+56,B877="Seized",E877)</f>
        <v>45889</v>
      </c>
      <c r="G877" s="2">
        <v>45891</v>
      </c>
      <c r="H877" s="5">
        <f t="shared" si="50"/>
        <v>8</v>
      </c>
      <c r="I877" s="5">
        <f t="shared" si="51"/>
        <v>2</v>
      </c>
      <c r="J877" s="2" t="s">
        <v>31</v>
      </c>
      <c r="K877" s="2" t="s">
        <v>587</v>
      </c>
      <c r="AD877" s="33" t="str">
        <f t="shared" si="52"/>
        <v>Friday</v>
      </c>
    </row>
    <row r="878" spans="1:30" x14ac:dyDescent="0.2">
      <c r="A878" s="3">
        <v>41541</v>
      </c>
      <c r="B878" s="2" t="s">
        <v>38</v>
      </c>
      <c r="C878" t="s">
        <v>49</v>
      </c>
      <c r="D878" t="s">
        <v>209</v>
      </c>
      <c r="E878" s="2">
        <v>45882</v>
      </c>
      <c r="F878" s="2" cm="1">
        <f t="array" ref="F878">_xlfn.IFS(B878="Owner Surrender",E878,B878="Stray",E878+6,B878="Stray w/identification",E878+11,B878="Bite",E878+10,B878="Other",E878+30,B878="BAS",E878+56,B878="Seized",E878)</f>
        <v>45888</v>
      </c>
      <c r="G878" s="2">
        <v>45894</v>
      </c>
      <c r="H878" s="5">
        <f t="shared" si="50"/>
        <v>12</v>
      </c>
      <c r="I878" s="5">
        <f t="shared" si="51"/>
        <v>6</v>
      </c>
      <c r="J878" s="2" t="s">
        <v>18</v>
      </c>
      <c r="K878" s="2" t="s">
        <v>586</v>
      </c>
      <c r="M878" t="s">
        <v>19</v>
      </c>
      <c r="AD878" s="33" t="str">
        <f t="shared" si="52"/>
        <v>Monday</v>
      </c>
    </row>
    <row r="879" spans="1:30" x14ac:dyDescent="0.2">
      <c r="A879" s="3">
        <v>41544</v>
      </c>
      <c r="B879" s="2" t="s">
        <v>36</v>
      </c>
      <c r="C879" t="s">
        <v>70</v>
      </c>
      <c r="D879" t="s">
        <v>208</v>
      </c>
      <c r="E879" s="2">
        <v>45883</v>
      </c>
      <c r="F879" s="2" cm="1">
        <f t="array" ref="F879">_xlfn.IFS(B879="Owner Surrender",E879,B879="Stray",E879+6,B879="Stray w/identification",E879+11,B879="Bite",E879+10,B879="Other",E879+30,B879="BAS",E879+56,B879="Seized",E879)</f>
        <v>45883</v>
      </c>
      <c r="G879" s="2">
        <v>45889</v>
      </c>
      <c r="H879" s="5">
        <f t="shared" si="50"/>
        <v>6</v>
      </c>
      <c r="I879" s="5">
        <f t="shared" si="51"/>
        <v>6</v>
      </c>
      <c r="J879" s="2" t="s">
        <v>18</v>
      </c>
      <c r="K879" s="2" t="s">
        <v>586</v>
      </c>
      <c r="M879" t="s">
        <v>19</v>
      </c>
      <c r="AD879" s="33" t="str">
        <f t="shared" si="52"/>
        <v>Wednesday</v>
      </c>
    </row>
    <row r="880" spans="1:30" x14ac:dyDescent="0.2">
      <c r="A880" s="3">
        <v>41545</v>
      </c>
      <c r="B880" s="2" t="s">
        <v>36</v>
      </c>
      <c r="C880" t="s">
        <v>70</v>
      </c>
      <c r="D880" t="s">
        <v>208</v>
      </c>
      <c r="E880" s="2">
        <v>45883</v>
      </c>
      <c r="F880" s="2" cm="1">
        <f t="array" ref="F880">_xlfn.IFS(B880="Owner Surrender",E880,B880="Stray",E880+6,B880="Stray w/identification",E880+11,B880="Bite",E880+10,B880="Other",E880+30,B880="BAS",E880+56,B880="Seized",E880)</f>
        <v>45883</v>
      </c>
      <c r="G880" s="2">
        <v>45889</v>
      </c>
      <c r="H880" s="5">
        <f t="shared" si="50"/>
        <v>6</v>
      </c>
      <c r="I880" s="5">
        <f t="shared" si="51"/>
        <v>6</v>
      </c>
      <c r="J880" s="2" t="s">
        <v>18</v>
      </c>
      <c r="K880" s="2" t="s">
        <v>586</v>
      </c>
      <c r="M880" t="s">
        <v>19</v>
      </c>
      <c r="AD880" s="33" t="str">
        <f t="shared" si="52"/>
        <v>Wednesday</v>
      </c>
    </row>
    <row r="881" spans="1:30" x14ac:dyDescent="0.2">
      <c r="A881" s="3">
        <v>41546</v>
      </c>
      <c r="B881" s="2" t="s">
        <v>36</v>
      </c>
      <c r="C881" t="s">
        <v>70</v>
      </c>
      <c r="D881" t="s">
        <v>208</v>
      </c>
      <c r="E881" s="2">
        <v>45883</v>
      </c>
      <c r="F881" s="2" cm="1">
        <f t="array" ref="F881">_xlfn.IFS(B881="Owner Surrender",E881,B881="Stray",E881+6,B881="Stray w/identification",E881+11,B881="Bite",E881+10,B881="Other",E881+30,B881="BAS",E881+56,B881="Seized",E881)</f>
        <v>45883</v>
      </c>
      <c r="G881" s="2">
        <v>45889</v>
      </c>
      <c r="H881" s="5">
        <f t="shared" si="50"/>
        <v>6</v>
      </c>
      <c r="I881" s="5">
        <f t="shared" si="51"/>
        <v>6</v>
      </c>
      <c r="J881" s="2" t="s">
        <v>18</v>
      </c>
      <c r="K881" s="2" t="s">
        <v>586</v>
      </c>
      <c r="M881" t="s">
        <v>19</v>
      </c>
      <c r="AD881" s="33" t="str">
        <f t="shared" si="52"/>
        <v>Wednesday</v>
      </c>
    </row>
    <row r="882" spans="1:30" x14ac:dyDescent="0.2">
      <c r="A882" s="3">
        <v>41547</v>
      </c>
      <c r="B882" s="2" t="s">
        <v>36</v>
      </c>
      <c r="C882" t="s">
        <v>70</v>
      </c>
      <c r="D882" t="s">
        <v>208</v>
      </c>
      <c r="E882" s="2">
        <v>45883</v>
      </c>
      <c r="F882" s="2" cm="1">
        <f t="array" ref="F882">_xlfn.IFS(B882="Owner Surrender",E882,B882="Stray",E882+6,B882="Stray w/identification",E882+11,B882="Bite",E882+10,B882="Other",E882+30,B882="BAS",E882+56,B882="Seized",E882)</f>
        <v>45883</v>
      </c>
      <c r="G882" s="2">
        <v>45889</v>
      </c>
      <c r="H882" s="5">
        <f t="shared" si="50"/>
        <v>6</v>
      </c>
      <c r="I882" s="5">
        <f t="shared" si="51"/>
        <v>6</v>
      </c>
      <c r="J882" s="2" t="s">
        <v>18</v>
      </c>
      <c r="K882" s="2" t="s">
        <v>586</v>
      </c>
      <c r="M882" t="s">
        <v>19</v>
      </c>
      <c r="AD882" s="33" t="str">
        <f t="shared" si="52"/>
        <v>Wednesday</v>
      </c>
    </row>
    <row r="883" spans="1:30" x14ac:dyDescent="0.2">
      <c r="A883" s="3">
        <v>41548</v>
      </c>
      <c r="B883" s="2" t="s">
        <v>36</v>
      </c>
      <c r="C883" t="s">
        <v>70</v>
      </c>
      <c r="D883" t="s">
        <v>208</v>
      </c>
      <c r="E883" s="2">
        <v>45883</v>
      </c>
      <c r="F883" s="2" cm="1">
        <f t="array" ref="F883">_xlfn.IFS(B883="Owner Surrender",E883,B883="Stray",E883+6,B883="Stray w/identification",E883+11,B883="Bite",E883+10,B883="Other",E883+30,B883="BAS",E883+56,B883="Seized",E883)</f>
        <v>45883</v>
      </c>
      <c r="G883" s="2">
        <v>45889</v>
      </c>
      <c r="H883" s="5">
        <f t="shared" si="50"/>
        <v>6</v>
      </c>
      <c r="I883" s="5">
        <f t="shared" si="51"/>
        <v>6</v>
      </c>
      <c r="J883" s="2" t="s">
        <v>18</v>
      </c>
      <c r="K883" s="2" t="s">
        <v>586</v>
      </c>
      <c r="M883" t="s">
        <v>19</v>
      </c>
      <c r="AD883" s="33" t="str">
        <f t="shared" si="52"/>
        <v>Wednesday</v>
      </c>
    </row>
    <row r="884" spans="1:30" x14ac:dyDescent="0.2">
      <c r="A884" s="3">
        <v>41549</v>
      </c>
      <c r="B884" s="2" t="s">
        <v>38</v>
      </c>
      <c r="C884" t="s">
        <v>108</v>
      </c>
      <c r="D884" t="s">
        <v>207</v>
      </c>
      <c r="E884" s="2">
        <v>45883</v>
      </c>
      <c r="F884" s="2" cm="1">
        <f t="array" ref="F884">_xlfn.IFS(B884="Owner Surrender",E884,B884="Stray",E884+6,B884="Stray w/identification",E884+11,B884="Bite",E884+10,B884="Other",E884+30,B884="BAS",E884+56,B884="Seized",E884)</f>
        <v>45889</v>
      </c>
      <c r="G884" s="2">
        <v>45884</v>
      </c>
      <c r="H884" s="5">
        <f t="shared" si="50"/>
        <v>1</v>
      </c>
      <c r="I884" s="5">
        <f t="shared" si="51"/>
        <v>-5</v>
      </c>
      <c r="J884" s="2" t="s">
        <v>8</v>
      </c>
      <c r="K884" s="2" t="s">
        <v>586</v>
      </c>
      <c r="AD884" s="33" t="str">
        <f t="shared" si="52"/>
        <v>Friday</v>
      </c>
    </row>
    <row r="885" spans="1:30" x14ac:dyDescent="0.2">
      <c r="A885" s="3">
        <v>41552</v>
      </c>
      <c r="B885" s="2" t="s">
        <v>36</v>
      </c>
      <c r="C885" t="s">
        <v>108</v>
      </c>
      <c r="D885" t="s">
        <v>207</v>
      </c>
      <c r="E885" s="2">
        <v>45884</v>
      </c>
      <c r="F885" s="2" cm="1">
        <f t="array" ref="F885">_xlfn.IFS(B885="Owner Surrender",E885,B885="Stray",E885+6,B885="Stray w/identification",E885+11,B885="Bite",E885+10,B885="Other",E885+30,B885="BAS",E885+56,B885="Seized",E885)</f>
        <v>45884</v>
      </c>
      <c r="G885" s="2">
        <v>45889</v>
      </c>
      <c r="H885" s="5">
        <f t="shared" si="50"/>
        <v>5</v>
      </c>
      <c r="I885" s="5">
        <f t="shared" si="51"/>
        <v>5</v>
      </c>
      <c r="J885" s="2" t="s">
        <v>18</v>
      </c>
      <c r="K885" s="2" t="s">
        <v>586</v>
      </c>
      <c r="M885" t="s">
        <v>19</v>
      </c>
      <c r="AD885" s="33" t="str">
        <f t="shared" si="52"/>
        <v>Wednesday</v>
      </c>
    </row>
    <row r="886" spans="1:30" x14ac:dyDescent="0.2">
      <c r="A886" s="3">
        <v>41553</v>
      </c>
      <c r="B886" s="2" t="s">
        <v>36</v>
      </c>
      <c r="C886" t="s">
        <v>110</v>
      </c>
      <c r="D886" t="s">
        <v>207</v>
      </c>
      <c r="E886" s="2">
        <v>45884</v>
      </c>
      <c r="F886" s="2" cm="1">
        <f t="array" ref="F886">_xlfn.IFS(B886="Owner Surrender",E886,B886="Stray",E886+6,B886="Stray w/identification",E886+11,B886="Bite",E886+10,B886="Other",E886+30,B886="BAS",E886+56,B886="Seized",E886)</f>
        <v>45884</v>
      </c>
      <c r="G886" s="2">
        <v>45888</v>
      </c>
      <c r="H886" s="5">
        <f t="shared" si="50"/>
        <v>4</v>
      </c>
      <c r="I886" s="5">
        <f t="shared" si="51"/>
        <v>4</v>
      </c>
      <c r="J886" s="2" t="s">
        <v>18</v>
      </c>
      <c r="K886" s="2" t="s">
        <v>586</v>
      </c>
      <c r="M886" t="s">
        <v>19</v>
      </c>
      <c r="AD886" s="33" t="str">
        <f t="shared" si="52"/>
        <v>Tuesday</v>
      </c>
    </row>
    <row r="887" spans="1:30" x14ac:dyDescent="0.2">
      <c r="A887" s="3">
        <v>41554</v>
      </c>
      <c r="B887" s="2" t="s">
        <v>36</v>
      </c>
      <c r="C887" t="s">
        <v>72</v>
      </c>
      <c r="D887" t="s">
        <v>208</v>
      </c>
      <c r="E887" s="2">
        <v>45884</v>
      </c>
      <c r="F887" s="2" cm="1">
        <f t="array" ref="F887">_xlfn.IFS(B887="Owner Surrender",E887,B887="Stray",E887+6,B887="Stray w/identification",E887+11,B887="Bite",E887+10,B887="Other",E887+30,B887="BAS",E887+56,B887="Seized",E887)</f>
        <v>45884</v>
      </c>
      <c r="G887" s="2">
        <v>45889</v>
      </c>
      <c r="H887" s="5">
        <f t="shared" si="50"/>
        <v>5</v>
      </c>
      <c r="I887" s="5">
        <f t="shared" si="51"/>
        <v>5</v>
      </c>
      <c r="J887" s="2" t="s">
        <v>18</v>
      </c>
      <c r="K887" s="2" t="s">
        <v>586</v>
      </c>
      <c r="M887" t="s">
        <v>19</v>
      </c>
      <c r="AD887" s="33" t="str">
        <f t="shared" si="52"/>
        <v>Wednesday</v>
      </c>
    </row>
    <row r="888" spans="1:30" x14ac:dyDescent="0.2">
      <c r="A888" s="3">
        <v>41555</v>
      </c>
      <c r="B888" s="2" t="s">
        <v>36</v>
      </c>
      <c r="C888" t="s">
        <v>108</v>
      </c>
      <c r="D888" t="s">
        <v>207</v>
      </c>
      <c r="E888" s="2">
        <v>45884</v>
      </c>
      <c r="F888" s="2" cm="1">
        <f t="array" ref="F888">_xlfn.IFS(B888="Owner Surrender",E888,B888="Stray",E888+6,B888="Stray w/identification",E888+11,B888="Bite",E888+10,B888="Other",E888+30,B888="BAS",E888+56,B888="Seized",E888)</f>
        <v>45884</v>
      </c>
      <c r="G888" s="2">
        <v>45888</v>
      </c>
      <c r="H888" s="5">
        <f t="shared" si="50"/>
        <v>4</v>
      </c>
      <c r="I888" s="5">
        <f t="shared" si="51"/>
        <v>4</v>
      </c>
      <c r="J888" s="2" t="s">
        <v>18</v>
      </c>
      <c r="K888" s="2" t="s">
        <v>586</v>
      </c>
      <c r="M888" t="s">
        <v>19</v>
      </c>
      <c r="AD888" s="33" t="str">
        <f t="shared" si="52"/>
        <v>Tuesday</v>
      </c>
    </row>
    <row r="889" spans="1:30" x14ac:dyDescent="0.2">
      <c r="A889" s="3">
        <v>41557</v>
      </c>
      <c r="B889" s="2" t="s">
        <v>38</v>
      </c>
      <c r="C889" t="s">
        <v>139</v>
      </c>
      <c r="D889" t="s">
        <v>207</v>
      </c>
      <c r="E889" s="2">
        <v>45884</v>
      </c>
      <c r="F889" s="2" cm="1">
        <f t="array" ref="F889">_xlfn.IFS(B889="Owner Surrender",E889,B889="Stray",E889+6,B889="Stray w/identification",E889+11,B889="Bite",E889+10,B889="Other",E889+30,B889="BAS",E889+56,B889="Seized",E889)</f>
        <v>45890</v>
      </c>
      <c r="G889" s="2">
        <v>45897</v>
      </c>
      <c r="H889" s="5">
        <f t="shared" si="50"/>
        <v>13</v>
      </c>
      <c r="I889" s="5">
        <f t="shared" si="51"/>
        <v>7</v>
      </c>
      <c r="J889" s="2" t="s">
        <v>31</v>
      </c>
      <c r="K889" s="2" t="s">
        <v>587</v>
      </c>
      <c r="AD889" s="33" t="str">
        <f t="shared" si="52"/>
        <v>Thursday</v>
      </c>
    </row>
    <row r="890" spans="1:30" x14ac:dyDescent="0.2">
      <c r="A890" s="3">
        <v>41558</v>
      </c>
      <c r="B890" s="2" t="s">
        <v>179</v>
      </c>
      <c r="C890" t="s">
        <v>507</v>
      </c>
      <c r="D890" t="s">
        <v>207</v>
      </c>
      <c r="E890" s="2">
        <v>45884</v>
      </c>
      <c r="F890" s="2" cm="1">
        <f t="array" ref="F890">_xlfn.IFS(B890="Owner Surrender",E890,B890="Stray",E890+6,B890="Stray w/identification",E890+11,B890="Bite",E890+10,B890="Other",E890+30,B890="BAS",E890+56,B890="Seized",E890)</f>
        <v>45895</v>
      </c>
      <c r="G890" s="2">
        <v>45896</v>
      </c>
      <c r="H890" s="5">
        <f t="shared" si="50"/>
        <v>12</v>
      </c>
      <c r="I890" s="5">
        <f t="shared" si="51"/>
        <v>1</v>
      </c>
      <c r="J890" s="2" t="s">
        <v>18</v>
      </c>
      <c r="K890" s="2" t="s">
        <v>586</v>
      </c>
      <c r="L890" t="s">
        <v>444</v>
      </c>
      <c r="M890" t="s">
        <v>606</v>
      </c>
      <c r="AD890" s="33" t="str">
        <f t="shared" si="52"/>
        <v>Wednesday</v>
      </c>
    </row>
    <row r="891" spans="1:30" x14ac:dyDescent="0.2">
      <c r="A891" s="3">
        <v>41559</v>
      </c>
      <c r="B891" s="2" t="s">
        <v>38</v>
      </c>
      <c r="C891" t="s">
        <v>48</v>
      </c>
      <c r="D891" t="s">
        <v>207</v>
      </c>
      <c r="E891" s="2">
        <v>45884</v>
      </c>
      <c r="F891" s="2" cm="1">
        <f t="array" ref="F891">_xlfn.IFS(B891="Owner Surrender",E891,B891="Stray",E891+6,B891="Stray w/identification",E891+11,B891="Bite",E891+10,B891="Other",E891+30,B891="BAS",E891+56,B891="Seized",E891)</f>
        <v>45890</v>
      </c>
      <c r="G891" s="2">
        <v>45903</v>
      </c>
      <c r="H891" s="5">
        <f t="shared" si="50"/>
        <v>19</v>
      </c>
      <c r="I891" s="5">
        <f t="shared" si="51"/>
        <v>13</v>
      </c>
      <c r="J891" s="2" t="s">
        <v>31</v>
      </c>
      <c r="K891" s="2" t="s">
        <v>587</v>
      </c>
      <c r="AD891" s="33" t="str">
        <f t="shared" si="52"/>
        <v>Wednesday</v>
      </c>
    </row>
    <row r="892" spans="1:30" x14ac:dyDescent="0.2">
      <c r="A892" s="3">
        <v>41565</v>
      </c>
      <c r="B892" s="2" t="s">
        <v>38</v>
      </c>
      <c r="C892" t="s">
        <v>621</v>
      </c>
      <c r="D892" t="s">
        <v>208</v>
      </c>
      <c r="E892" s="2">
        <v>45885</v>
      </c>
      <c r="F892" s="2" cm="1">
        <f t="array" ref="F892">_xlfn.IFS(B892="Owner Surrender",E892,B892="Stray",E892+6,B892="Stray w/identification",E892+11,B892="Bite",E892+10,B892="Other",E892+30,B892="BAS",E892+56,B892="Seized",E892)</f>
        <v>45891</v>
      </c>
      <c r="G892" s="2">
        <v>45894</v>
      </c>
      <c r="H892" s="5">
        <f t="shared" si="50"/>
        <v>9</v>
      </c>
      <c r="I892" s="5">
        <f t="shared" si="51"/>
        <v>3</v>
      </c>
      <c r="J892" s="2" t="s">
        <v>31</v>
      </c>
      <c r="K892" s="2" t="s">
        <v>587</v>
      </c>
      <c r="AD892" s="33" t="str">
        <f t="shared" si="52"/>
        <v>Monday</v>
      </c>
    </row>
    <row r="893" spans="1:30" x14ac:dyDescent="0.2">
      <c r="A893" s="3">
        <v>41566</v>
      </c>
      <c r="B893" s="2" t="s">
        <v>38</v>
      </c>
      <c r="C893" t="s">
        <v>621</v>
      </c>
      <c r="D893" t="s">
        <v>208</v>
      </c>
      <c r="E893" s="2">
        <v>45885</v>
      </c>
      <c r="F893" s="2" cm="1">
        <f t="array" ref="F893">_xlfn.IFS(B893="Owner Surrender",E893,B893="Stray",E893+6,B893="Stray w/identification",E893+11,B893="Bite",E893+10,B893="Other",E893+30,B893="BAS",E893+56,B893="Seized",E893)</f>
        <v>45891</v>
      </c>
      <c r="G893" s="2">
        <v>45894</v>
      </c>
      <c r="H893" s="5">
        <f t="shared" si="50"/>
        <v>9</v>
      </c>
      <c r="I893" s="5">
        <f t="shared" si="51"/>
        <v>3</v>
      </c>
      <c r="J893" s="2" t="s">
        <v>31</v>
      </c>
      <c r="K893" s="2" t="s">
        <v>587</v>
      </c>
      <c r="AD893" s="33" t="str">
        <f t="shared" si="52"/>
        <v>Monday</v>
      </c>
    </row>
    <row r="894" spans="1:30" x14ac:dyDescent="0.2">
      <c r="A894" s="3">
        <v>41567</v>
      </c>
      <c r="B894" s="2" t="s">
        <v>38</v>
      </c>
      <c r="C894" t="s">
        <v>621</v>
      </c>
      <c r="D894" t="s">
        <v>208</v>
      </c>
      <c r="E894" s="2">
        <v>45885</v>
      </c>
      <c r="F894" s="2" cm="1">
        <f t="array" ref="F894">_xlfn.IFS(B894="Owner Surrender",E894,B894="Stray",E894+6,B894="Stray w/identification",E894+11,B894="Bite",E894+10,B894="Other",E894+30,B894="BAS",E894+56,B894="Seized",E894)</f>
        <v>45891</v>
      </c>
      <c r="G894" s="2">
        <v>45894</v>
      </c>
      <c r="H894" s="5">
        <f t="shared" si="50"/>
        <v>9</v>
      </c>
      <c r="I894" s="5">
        <f t="shared" si="51"/>
        <v>3</v>
      </c>
      <c r="J894" s="2" t="s">
        <v>31</v>
      </c>
      <c r="K894" s="2" t="s">
        <v>587</v>
      </c>
      <c r="AD894" s="33" t="str">
        <f t="shared" si="52"/>
        <v>Monday</v>
      </c>
    </row>
    <row r="895" spans="1:30" x14ac:dyDescent="0.2">
      <c r="A895" s="3">
        <v>41568</v>
      </c>
      <c r="B895" s="2" t="s">
        <v>38</v>
      </c>
      <c r="C895" t="s">
        <v>621</v>
      </c>
      <c r="D895" t="s">
        <v>208</v>
      </c>
      <c r="E895" s="2">
        <v>45885</v>
      </c>
      <c r="F895" s="2" cm="1">
        <f t="array" ref="F895">_xlfn.IFS(B895="Owner Surrender",E895,B895="Stray",E895+6,B895="Stray w/identification",E895+11,B895="Bite",E895+10,B895="Other",E895+30,B895="BAS",E895+56,B895="Seized",E895)</f>
        <v>45891</v>
      </c>
      <c r="G895" s="2">
        <v>45894</v>
      </c>
      <c r="H895" s="5">
        <f t="shared" si="50"/>
        <v>9</v>
      </c>
      <c r="I895" s="5">
        <f t="shared" si="51"/>
        <v>3</v>
      </c>
      <c r="J895" s="2" t="s">
        <v>31</v>
      </c>
      <c r="K895" s="2" t="s">
        <v>587</v>
      </c>
      <c r="AD895" s="33" t="str">
        <f t="shared" si="52"/>
        <v>Monday</v>
      </c>
    </row>
    <row r="896" spans="1:30" x14ac:dyDescent="0.2">
      <c r="A896" s="3">
        <v>41569</v>
      </c>
      <c r="B896" s="2" t="s">
        <v>38</v>
      </c>
      <c r="C896" t="s">
        <v>621</v>
      </c>
      <c r="D896" t="s">
        <v>208</v>
      </c>
      <c r="E896" s="2">
        <v>45885</v>
      </c>
      <c r="F896" s="2" cm="1">
        <f t="array" ref="F896">_xlfn.IFS(B896="Owner Surrender",E896,B896="Stray",E896+6,B896="Stray w/identification",E896+11,B896="Bite",E896+10,B896="Other",E896+30,B896="BAS",E896+56,B896="Seized",E896)</f>
        <v>45891</v>
      </c>
      <c r="G896" s="2">
        <v>45894</v>
      </c>
      <c r="H896" s="5">
        <f t="shared" ref="H896:H959" si="53">+G896-E896</f>
        <v>9</v>
      </c>
      <c r="I896" s="5">
        <f t="shared" ref="I896:I959" si="54">G896-F896</f>
        <v>3</v>
      </c>
      <c r="J896" s="2" t="s">
        <v>31</v>
      </c>
      <c r="K896" s="2" t="s">
        <v>587</v>
      </c>
      <c r="AD896" s="33" t="str">
        <f t="shared" si="52"/>
        <v>Monday</v>
      </c>
    </row>
    <row r="897" spans="1:30" x14ac:dyDescent="0.2">
      <c r="A897" s="3">
        <v>41570</v>
      </c>
      <c r="B897" s="2" t="s">
        <v>38</v>
      </c>
      <c r="C897" t="s">
        <v>621</v>
      </c>
      <c r="D897" t="s">
        <v>208</v>
      </c>
      <c r="E897" s="2">
        <v>45885</v>
      </c>
      <c r="F897" s="2" cm="1">
        <f t="array" ref="F897">_xlfn.IFS(B897="Owner Surrender",E897,B897="Stray",E897+6,B897="Stray w/identification",E897+11,B897="Bite",E897+10,B897="Other",E897+30,B897="BAS",E897+56,B897="Seized",E897)</f>
        <v>45891</v>
      </c>
      <c r="G897" s="2">
        <v>45894</v>
      </c>
      <c r="H897" s="5">
        <f t="shared" si="53"/>
        <v>9</v>
      </c>
      <c r="I897" s="5">
        <f t="shared" si="54"/>
        <v>3</v>
      </c>
      <c r="J897" s="2" t="s">
        <v>31</v>
      </c>
      <c r="K897" s="2" t="s">
        <v>587</v>
      </c>
      <c r="AD897" s="33" t="str">
        <f t="shared" si="52"/>
        <v>Monday</v>
      </c>
    </row>
    <row r="898" spans="1:30" x14ac:dyDescent="0.2">
      <c r="A898" s="3">
        <v>41571</v>
      </c>
      <c r="B898" s="2" t="s">
        <v>179</v>
      </c>
      <c r="C898" t="s">
        <v>622</v>
      </c>
      <c r="D898" t="s">
        <v>207</v>
      </c>
      <c r="E898" s="2">
        <v>45886</v>
      </c>
      <c r="F898" s="2" cm="1">
        <f t="array" ref="F898">_xlfn.IFS(B898="Owner Surrender",E898,B898="Stray",E898+6,B898="Stray w/identification",E898+11,B898="Bite",E898+10,B898="Other",E898+30,B898="BAS",E898+56,B898="Seized",E898)</f>
        <v>45897</v>
      </c>
      <c r="G898" s="2">
        <v>45915</v>
      </c>
      <c r="H898" s="5">
        <f t="shared" si="53"/>
        <v>29</v>
      </c>
      <c r="I898" s="5">
        <f t="shared" si="54"/>
        <v>18</v>
      </c>
      <c r="J898" s="2" t="s">
        <v>18</v>
      </c>
      <c r="K898" s="2" t="s">
        <v>586</v>
      </c>
      <c r="M898" t="s">
        <v>84</v>
      </c>
      <c r="AD898" s="33" t="str">
        <f t="shared" si="52"/>
        <v>Monday</v>
      </c>
    </row>
    <row r="899" spans="1:30" x14ac:dyDescent="0.2">
      <c r="A899" s="3">
        <v>41576</v>
      </c>
      <c r="B899" s="2" t="s">
        <v>38</v>
      </c>
      <c r="C899" t="s">
        <v>48</v>
      </c>
      <c r="D899" t="s">
        <v>207</v>
      </c>
      <c r="E899" s="2">
        <v>45887</v>
      </c>
      <c r="F899" s="2" cm="1">
        <f t="array" ref="F899">_xlfn.IFS(B899="Owner Surrender",E899,B899="Stray",E899+6,B899="Stray w/identification",E899+11,B899="Bite",E899+10,B899="Other",E899+30,B899="BAS",E899+56,B899="Seized",E899)</f>
        <v>45893</v>
      </c>
      <c r="G899" s="2">
        <v>45897</v>
      </c>
      <c r="H899" s="5">
        <f t="shared" si="53"/>
        <v>10</v>
      </c>
      <c r="I899" s="5">
        <f t="shared" si="54"/>
        <v>4</v>
      </c>
      <c r="J899" s="2" t="s">
        <v>31</v>
      </c>
      <c r="K899" s="2" t="s">
        <v>587</v>
      </c>
      <c r="AD899" s="33" t="str">
        <f t="shared" si="52"/>
        <v>Thursday</v>
      </c>
    </row>
    <row r="900" spans="1:30" x14ac:dyDescent="0.2">
      <c r="A900" s="3">
        <v>41579</v>
      </c>
      <c r="B900" s="2" t="s">
        <v>36</v>
      </c>
      <c r="C900" t="s">
        <v>75</v>
      </c>
      <c r="D900" t="s">
        <v>207</v>
      </c>
      <c r="E900" s="2">
        <v>45887</v>
      </c>
      <c r="F900" s="2" cm="1">
        <f t="array" ref="F900">_xlfn.IFS(B900="Owner Surrender",E900,B900="Stray",E900+6,B900="Stray w/identification",E900+11,B900="Bite",E900+10,B900="Other",E900+30,B900="BAS",E900+56,B900="Seized",E900)</f>
        <v>45887</v>
      </c>
      <c r="G900" s="2">
        <v>45891</v>
      </c>
      <c r="H900" s="5">
        <f t="shared" si="53"/>
        <v>4</v>
      </c>
      <c r="I900" s="5">
        <f t="shared" si="54"/>
        <v>4</v>
      </c>
      <c r="J900" s="2" t="s">
        <v>31</v>
      </c>
      <c r="K900" s="2" t="s">
        <v>594</v>
      </c>
      <c r="AD900" s="33" t="str">
        <f t="shared" ref="AD900:AD963" si="55">TEXT(G900,"DDDD")</f>
        <v>Friday</v>
      </c>
    </row>
    <row r="901" spans="1:30" x14ac:dyDescent="0.2">
      <c r="A901" s="3">
        <v>41581</v>
      </c>
      <c r="B901" s="2" t="s">
        <v>36</v>
      </c>
      <c r="C901" t="s">
        <v>110</v>
      </c>
      <c r="D901" t="s">
        <v>210</v>
      </c>
      <c r="E901" s="2">
        <v>45888</v>
      </c>
      <c r="F901" s="2" cm="1">
        <f t="array" ref="F901">_xlfn.IFS(B901="Owner Surrender",E901,B901="Stray",E901+6,B901="Stray w/identification",E901+11,B901="Bite",E901+10,B901="Other",E901+30,B901="BAS",E901+56,B901="Seized",E901)</f>
        <v>45888</v>
      </c>
      <c r="G901" s="2">
        <v>45888</v>
      </c>
      <c r="H901" s="5">
        <f t="shared" si="53"/>
        <v>0</v>
      </c>
      <c r="I901" s="5">
        <f t="shared" si="54"/>
        <v>0</v>
      </c>
      <c r="J901" s="2" t="s">
        <v>31</v>
      </c>
      <c r="K901" s="2" t="s">
        <v>589</v>
      </c>
      <c r="AD901" s="33" t="str">
        <f t="shared" si="55"/>
        <v>Tuesday</v>
      </c>
    </row>
    <row r="902" spans="1:30" x14ac:dyDescent="0.2">
      <c r="A902" s="3">
        <v>41582</v>
      </c>
      <c r="B902" s="2" t="s">
        <v>179</v>
      </c>
      <c r="C902" t="s">
        <v>48</v>
      </c>
      <c r="D902" t="s">
        <v>207</v>
      </c>
      <c r="E902" s="2">
        <v>45888</v>
      </c>
      <c r="F902" s="2" cm="1">
        <f t="array" ref="F902">_xlfn.IFS(B902="Owner Surrender",E902,B902="Stray",E902+6,B902="Stray w/identification",E902+11,B902="Bite",E902+10,B902="Other",E902+30,B902="BAS",E902+56,B902="Seized",E902)</f>
        <v>45899</v>
      </c>
      <c r="G902" s="2">
        <v>45903</v>
      </c>
      <c r="H902" s="5">
        <f t="shared" si="53"/>
        <v>15</v>
      </c>
      <c r="I902" s="5">
        <f t="shared" si="54"/>
        <v>4</v>
      </c>
      <c r="J902" s="2" t="s">
        <v>31</v>
      </c>
      <c r="K902" s="2" t="s">
        <v>587</v>
      </c>
      <c r="AD902" s="33" t="str">
        <f t="shared" si="55"/>
        <v>Wednesday</v>
      </c>
    </row>
    <row r="903" spans="1:30" x14ac:dyDescent="0.2">
      <c r="A903" s="3">
        <v>41589</v>
      </c>
      <c r="B903" s="2" t="s">
        <v>36</v>
      </c>
      <c r="C903" t="s">
        <v>49</v>
      </c>
      <c r="D903" t="s">
        <v>208</v>
      </c>
      <c r="E903" s="2">
        <v>45888</v>
      </c>
      <c r="F903" s="2" cm="1">
        <f t="array" ref="F903">_xlfn.IFS(B903="Owner Surrender",E903,B903="Stray",E903+6,B903="Stray w/identification",E903+11,B903="Bite",E903+10,B903="Other",E903+30,B903="BAS",E903+56,B903="Seized",E903)</f>
        <v>45888</v>
      </c>
      <c r="G903" s="2">
        <v>45891</v>
      </c>
      <c r="H903" s="5">
        <f t="shared" si="53"/>
        <v>3</v>
      </c>
      <c r="I903" s="5">
        <f t="shared" si="54"/>
        <v>3</v>
      </c>
      <c r="J903" s="2" t="s">
        <v>31</v>
      </c>
      <c r="K903" s="2" t="s">
        <v>587</v>
      </c>
      <c r="AD903" s="33" t="str">
        <f t="shared" si="55"/>
        <v>Friday</v>
      </c>
    </row>
    <row r="904" spans="1:30" x14ac:dyDescent="0.2">
      <c r="A904" s="3">
        <v>41590</v>
      </c>
      <c r="B904" s="2" t="s">
        <v>36</v>
      </c>
      <c r="C904" t="s">
        <v>49</v>
      </c>
      <c r="D904" t="s">
        <v>208</v>
      </c>
      <c r="E904" s="2">
        <v>45888</v>
      </c>
      <c r="F904" s="2" cm="1">
        <f t="array" ref="F904">_xlfn.IFS(B904="Owner Surrender",E904,B904="Stray",E904+6,B904="Stray w/identification",E904+11,B904="Bite",E904+10,B904="Other",E904+30,B904="BAS",E904+56,B904="Seized",E904)</f>
        <v>45888</v>
      </c>
      <c r="G904" s="2">
        <v>45891</v>
      </c>
      <c r="H904" s="5">
        <f t="shared" si="53"/>
        <v>3</v>
      </c>
      <c r="I904" s="5">
        <f t="shared" si="54"/>
        <v>3</v>
      </c>
      <c r="J904" s="2" t="s">
        <v>31</v>
      </c>
      <c r="K904" s="2" t="s">
        <v>587</v>
      </c>
      <c r="AD904" s="33" t="str">
        <f t="shared" si="55"/>
        <v>Friday</v>
      </c>
    </row>
    <row r="905" spans="1:30" x14ac:dyDescent="0.2">
      <c r="A905" s="3">
        <v>41591</v>
      </c>
      <c r="B905" s="2" t="s">
        <v>36</v>
      </c>
      <c r="C905" t="s">
        <v>64</v>
      </c>
      <c r="D905" t="s">
        <v>207</v>
      </c>
      <c r="E905" s="2">
        <v>45888</v>
      </c>
      <c r="F905" s="2" cm="1">
        <f t="array" ref="F905">_xlfn.IFS(B905="Owner Surrender",E905,B905="Stray",E905+6,B905="Stray w/identification",E905+11,B905="Bite",E905+10,B905="Other",E905+30,B905="BAS",E905+56,B905="Seized",E905)</f>
        <v>45888</v>
      </c>
      <c r="G905" s="2">
        <v>45891</v>
      </c>
      <c r="H905" s="5">
        <f t="shared" si="53"/>
        <v>3</v>
      </c>
      <c r="I905" s="5">
        <f t="shared" si="54"/>
        <v>3</v>
      </c>
      <c r="J905" s="2" t="s">
        <v>11</v>
      </c>
      <c r="K905" s="2" t="s">
        <v>586</v>
      </c>
      <c r="L905" t="s">
        <v>623</v>
      </c>
      <c r="AD905" s="33" t="str">
        <f t="shared" si="55"/>
        <v>Friday</v>
      </c>
    </row>
    <row r="906" spans="1:30" x14ac:dyDescent="0.2">
      <c r="A906" s="3">
        <v>41592</v>
      </c>
      <c r="B906" s="2" t="s">
        <v>36</v>
      </c>
      <c r="C906" t="s">
        <v>624</v>
      </c>
      <c r="D906" t="s">
        <v>208</v>
      </c>
      <c r="E906" s="2">
        <v>45888</v>
      </c>
      <c r="F906" s="2" cm="1">
        <f t="array" ref="F906">_xlfn.IFS(B906="Owner Surrender",E906,B906="Stray",E906+6,B906="Stray w/identification",E906+11,B906="Bite",E906+10,B906="Other",E906+30,B906="BAS",E906+56,B906="Seized",E906)</f>
        <v>45888</v>
      </c>
      <c r="G906" s="2">
        <v>45909</v>
      </c>
      <c r="H906" s="5">
        <f t="shared" si="53"/>
        <v>21</v>
      </c>
      <c r="I906" s="5">
        <f t="shared" si="54"/>
        <v>21</v>
      </c>
      <c r="J906" s="2" t="s">
        <v>11</v>
      </c>
      <c r="K906" s="2" t="s">
        <v>586</v>
      </c>
      <c r="AD906" s="33" t="str">
        <f t="shared" si="55"/>
        <v>Tuesday</v>
      </c>
    </row>
    <row r="907" spans="1:30" x14ac:dyDescent="0.2">
      <c r="A907" s="3">
        <v>41593</v>
      </c>
      <c r="B907" s="2" t="s">
        <v>38</v>
      </c>
      <c r="C907" t="s">
        <v>139</v>
      </c>
      <c r="D907" t="s">
        <v>207</v>
      </c>
      <c r="E907" s="2">
        <v>45888</v>
      </c>
      <c r="F907" s="2" cm="1">
        <f t="array" ref="F907">_xlfn.IFS(B907="Owner Surrender",E907,B907="Stray",E907+6,B907="Stray w/identification",E907+11,B907="Bite",E907+10,B907="Other",E907+30,B907="BAS",E907+56,B907="Seized",E907)</f>
        <v>45894</v>
      </c>
      <c r="G907" s="2">
        <v>45889</v>
      </c>
      <c r="H907" s="5">
        <f t="shared" si="53"/>
        <v>1</v>
      </c>
      <c r="I907" s="5">
        <f t="shared" si="54"/>
        <v>-5</v>
      </c>
      <c r="J907" s="2" t="s">
        <v>8</v>
      </c>
      <c r="K907" s="2" t="s">
        <v>586</v>
      </c>
      <c r="AD907" s="33" t="str">
        <f t="shared" si="55"/>
        <v>Wednesday</v>
      </c>
    </row>
    <row r="908" spans="1:30" x14ac:dyDescent="0.2">
      <c r="A908" s="3">
        <v>41598</v>
      </c>
      <c r="B908" s="2" t="s">
        <v>179</v>
      </c>
      <c r="C908" t="s">
        <v>507</v>
      </c>
      <c r="D908" t="s">
        <v>207</v>
      </c>
      <c r="E908" s="2">
        <v>45889</v>
      </c>
      <c r="F908" s="2" cm="1">
        <f t="array" ref="F908">_xlfn.IFS(B908="Owner Surrender",E908,B908="Stray",E908+6,B908="Stray w/identification",E908+11,B908="Bite",E908+10,B908="Other",E908+30,B908="BAS",E908+56,B908="Seized",E908)</f>
        <v>45900</v>
      </c>
      <c r="G908" s="2">
        <v>45915</v>
      </c>
      <c r="H908" s="5">
        <f t="shared" si="53"/>
        <v>26</v>
      </c>
      <c r="I908" s="5">
        <f t="shared" si="54"/>
        <v>15</v>
      </c>
      <c r="J908" s="2" t="s">
        <v>8</v>
      </c>
      <c r="K908" s="2" t="s">
        <v>586</v>
      </c>
      <c r="AD908" s="33" t="str">
        <f t="shared" si="55"/>
        <v>Monday</v>
      </c>
    </row>
    <row r="909" spans="1:30" x14ac:dyDescent="0.2">
      <c r="A909" s="3">
        <v>41599</v>
      </c>
      <c r="B909" s="2" t="s">
        <v>36</v>
      </c>
      <c r="C909" t="s">
        <v>75</v>
      </c>
      <c r="D909" t="s">
        <v>207</v>
      </c>
      <c r="E909" s="2">
        <v>45889</v>
      </c>
      <c r="F909" s="2" cm="1">
        <f t="array" ref="F909">_xlfn.IFS(B909="Owner Surrender",E909,B909="Stray",E909+6,B909="Stray w/identification",E909+11,B909="Bite",E909+10,B909="Other",E909+30,B909="BAS",E909+56,B909="Seized",E909)</f>
        <v>45889</v>
      </c>
      <c r="G909" s="2">
        <v>45891</v>
      </c>
      <c r="H909" s="5">
        <f t="shared" si="53"/>
        <v>2</v>
      </c>
      <c r="I909" s="5">
        <f t="shared" si="54"/>
        <v>2</v>
      </c>
      <c r="J909" s="2" t="s">
        <v>31</v>
      </c>
      <c r="K909" s="2" t="s">
        <v>586</v>
      </c>
      <c r="AD909" s="33" t="str">
        <f t="shared" si="55"/>
        <v>Friday</v>
      </c>
    </row>
    <row r="910" spans="1:30" x14ac:dyDescent="0.2">
      <c r="A910" s="3">
        <v>41600</v>
      </c>
      <c r="B910" s="2" t="s">
        <v>38</v>
      </c>
      <c r="C910" t="s">
        <v>72</v>
      </c>
      <c r="D910" t="s">
        <v>208</v>
      </c>
      <c r="E910" s="2">
        <v>45889</v>
      </c>
      <c r="F910" s="2" cm="1">
        <f t="array" ref="F910">_xlfn.IFS(B910="Owner Surrender",E910,B910="Stray",E910+6,B910="Stray w/identification",E910+11,B910="Bite",E910+10,B910="Other",E910+30,B910="BAS",E910+56,B910="Seized",E910)</f>
        <v>45895</v>
      </c>
      <c r="G910" s="2">
        <v>45912</v>
      </c>
      <c r="H910" s="5">
        <f t="shared" si="53"/>
        <v>23</v>
      </c>
      <c r="I910" s="5">
        <f t="shared" si="54"/>
        <v>17</v>
      </c>
      <c r="J910" s="2" t="s">
        <v>18</v>
      </c>
      <c r="K910" s="2" t="s">
        <v>586</v>
      </c>
      <c r="M910" t="s">
        <v>19</v>
      </c>
      <c r="AD910" s="33" t="str">
        <f t="shared" si="55"/>
        <v>Friday</v>
      </c>
    </row>
    <row r="911" spans="1:30" x14ac:dyDescent="0.2">
      <c r="A911" s="3">
        <v>41601</v>
      </c>
      <c r="B911" s="2" t="s">
        <v>38</v>
      </c>
      <c r="C911" t="s">
        <v>62</v>
      </c>
      <c r="D911" t="s">
        <v>207</v>
      </c>
      <c r="E911" s="2">
        <v>45890</v>
      </c>
      <c r="F911" s="2" cm="1">
        <f t="array" ref="F911">_xlfn.IFS(B911="Owner Surrender",E911,B911="Stray",E911+6,B911="Stray w/identification",E911+11,B911="Bite",E911+10,B911="Other",E911+30,B911="BAS",E911+56,B911="Seized",E911)</f>
        <v>45896</v>
      </c>
      <c r="G911" s="2">
        <v>45909</v>
      </c>
      <c r="H911" s="5">
        <f t="shared" si="53"/>
        <v>19</v>
      </c>
      <c r="I911" s="5">
        <f t="shared" si="54"/>
        <v>13</v>
      </c>
      <c r="J911" s="2" t="s">
        <v>31</v>
      </c>
      <c r="K911" s="2" t="s">
        <v>587</v>
      </c>
      <c r="AD911" s="33" t="str">
        <f t="shared" si="55"/>
        <v>Tuesday</v>
      </c>
    </row>
    <row r="912" spans="1:30" x14ac:dyDescent="0.2">
      <c r="A912" s="3">
        <v>41602</v>
      </c>
      <c r="B912" s="2" t="s">
        <v>36</v>
      </c>
      <c r="C912" t="s">
        <v>625</v>
      </c>
      <c r="D912" t="s">
        <v>207</v>
      </c>
      <c r="E912" s="2">
        <v>45890</v>
      </c>
      <c r="F912" s="2" cm="1">
        <f t="array" ref="F912">_xlfn.IFS(B912="Owner Surrender",E912,B912="Stray",E912+6,B912="Stray w/identification",E912+11,B912="Bite",E912+10,B912="Other",E912+30,B912="BAS",E912+56,B912="Seized",E912)</f>
        <v>45890</v>
      </c>
      <c r="G912" s="2">
        <v>45897</v>
      </c>
      <c r="H912" s="5">
        <f t="shared" si="53"/>
        <v>7</v>
      </c>
      <c r="I912" s="5">
        <f t="shared" si="54"/>
        <v>7</v>
      </c>
      <c r="J912" s="2" t="s">
        <v>31</v>
      </c>
      <c r="K912" s="2" t="s">
        <v>587</v>
      </c>
      <c r="L912" t="s">
        <v>626</v>
      </c>
      <c r="AD912" s="33" t="str">
        <f t="shared" si="55"/>
        <v>Thursday</v>
      </c>
    </row>
    <row r="913" spans="1:30" x14ac:dyDescent="0.2">
      <c r="A913" s="3">
        <v>41603</v>
      </c>
      <c r="B913" s="2" t="s">
        <v>36</v>
      </c>
      <c r="C913" t="s">
        <v>48</v>
      </c>
      <c r="D913" t="s">
        <v>208</v>
      </c>
      <c r="E913" s="2">
        <v>45890</v>
      </c>
      <c r="F913" s="2" cm="1">
        <f t="array" ref="F913">_xlfn.IFS(B913="Owner Surrender",E913,B913="Stray",E913+6,B913="Stray w/identification",E913+11,B913="Bite",E913+10,B913="Other",E913+30,B913="BAS",E913+56,B913="Seized",E913)</f>
        <v>45890</v>
      </c>
      <c r="G913" s="2">
        <v>45897</v>
      </c>
      <c r="H913" s="5">
        <f t="shared" si="53"/>
        <v>7</v>
      </c>
      <c r="I913" s="5">
        <f t="shared" si="54"/>
        <v>7</v>
      </c>
      <c r="J913" s="2" t="s">
        <v>31</v>
      </c>
      <c r="K913" s="2" t="s">
        <v>587</v>
      </c>
      <c r="AD913" s="33" t="str">
        <f t="shared" si="55"/>
        <v>Thursday</v>
      </c>
    </row>
    <row r="914" spans="1:30" x14ac:dyDescent="0.2">
      <c r="A914" s="3">
        <v>41604</v>
      </c>
      <c r="B914" s="2" t="s">
        <v>36</v>
      </c>
      <c r="C914" t="s">
        <v>48</v>
      </c>
      <c r="D914" t="s">
        <v>208</v>
      </c>
      <c r="E914" s="2">
        <v>45890</v>
      </c>
      <c r="F914" s="2" cm="1">
        <f t="array" ref="F914">_xlfn.IFS(B914="Owner Surrender",E914,B914="Stray",E914+6,B914="Stray w/identification",E914+11,B914="Bite",E914+10,B914="Other",E914+30,B914="BAS",E914+56,B914="Seized",E914)</f>
        <v>45890</v>
      </c>
      <c r="G914" s="2">
        <v>45897</v>
      </c>
      <c r="H914" s="5">
        <f t="shared" si="53"/>
        <v>7</v>
      </c>
      <c r="I914" s="5">
        <f t="shared" si="54"/>
        <v>7</v>
      </c>
      <c r="J914" s="2" t="s">
        <v>31</v>
      </c>
      <c r="K914" s="2" t="s">
        <v>587</v>
      </c>
      <c r="AD914" s="33" t="str">
        <f t="shared" si="55"/>
        <v>Thursday</v>
      </c>
    </row>
    <row r="915" spans="1:30" x14ac:dyDescent="0.2">
      <c r="A915" s="3">
        <v>41605</v>
      </c>
      <c r="B915" s="2" t="s">
        <v>36</v>
      </c>
      <c r="C915" t="s">
        <v>48</v>
      </c>
      <c r="D915" t="s">
        <v>208</v>
      </c>
      <c r="E915" s="2">
        <v>45890</v>
      </c>
      <c r="F915" s="2" cm="1">
        <f t="array" ref="F915">_xlfn.IFS(B915="Owner Surrender",E915,B915="Stray",E915+6,B915="Stray w/identification",E915+11,B915="Bite",E915+10,B915="Other",E915+30,B915="BAS",E915+56,B915="Seized",E915)</f>
        <v>45890</v>
      </c>
      <c r="G915" s="2">
        <v>45897</v>
      </c>
      <c r="H915" s="5">
        <f t="shared" si="53"/>
        <v>7</v>
      </c>
      <c r="I915" s="5">
        <f t="shared" si="54"/>
        <v>7</v>
      </c>
      <c r="J915" s="2" t="s">
        <v>31</v>
      </c>
      <c r="K915" s="2" t="s">
        <v>587</v>
      </c>
      <c r="AD915" s="33" t="str">
        <f t="shared" si="55"/>
        <v>Thursday</v>
      </c>
    </row>
    <row r="916" spans="1:30" x14ac:dyDescent="0.2">
      <c r="A916" s="3">
        <v>41606</v>
      </c>
      <c r="B916" s="2" t="s">
        <v>36</v>
      </c>
      <c r="C916" t="s">
        <v>48</v>
      </c>
      <c r="D916" t="s">
        <v>208</v>
      </c>
      <c r="E916" s="2">
        <v>45890</v>
      </c>
      <c r="F916" s="2" cm="1">
        <f t="array" ref="F916">_xlfn.IFS(B916="Owner Surrender",E916,B916="Stray",E916+6,B916="Stray w/identification",E916+11,B916="Bite",E916+10,B916="Other",E916+30,B916="BAS",E916+56,B916="Seized",E916)</f>
        <v>45890</v>
      </c>
      <c r="G916" s="2">
        <v>45897</v>
      </c>
      <c r="H916" s="5">
        <f t="shared" si="53"/>
        <v>7</v>
      </c>
      <c r="I916" s="5">
        <f t="shared" si="54"/>
        <v>7</v>
      </c>
      <c r="J916" s="2" t="s">
        <v>31</v>
      </c>
      <c r="K916" s="2" t="s">
        <v>587</v>
      </c>
      <c r="AD916" s="33" t="str">
        <f t="shared" si="55"/>
        <v>Thursday</v>
      </c>
    </row>
    <row r="917" spans="1:30" x14ac:dyDescent="0.2">
      <c r="A917" s="3">
        <v>41607</v>
      </c>
      <c r="B917" s="2" t="s">
        <v>36</v>
      </c>
      <c r="C917" t="s">
        <v>48</v>
      </c>
      <c r="D917" t="s">
        <v>208</v>
      </c>
      <c r="E917" s="2">
        <v>45890</v>
      </c>
      <c r="F917" s="2" cm="1">
        <f t="array" ref="F917">_xlfn.IFS(B917="Owner Surrender",E917,B917="Stray",E917+6,B917="Stray w/identification",E917+11,B917="Bite",E917+10,B917="Other",E917+30,B917="BAS",E917+56,B917="Seized",E917)</f>
        <v>45890</v>
      </c>
      <c r="G917" s="2">
        <v>45897</v>
      </c>
      <c r="H917" s="5">
        <f t="shared" si="53"/>
        <v>7</v>
      </c>
      <c r="I917" s="5">
        <f t="shared" si="54"/>
        <v>7</v>
      </c>
      <c r="J917" s="2" t="s">
        <v>31</v>
      </c>
      <c r="K917" s="2" t="s">
        <v>587</v>
      </c>
      <c r="AD917" s="33" t="str">
        <f t="shared" si="55"/>
        <v>Thursday</v>
      </c>
    </row>
    <row r="918" spans="1:30" x14ac:dyDescent="0.2">
      <c r="A918" s="3">
        <v>41608</v>
      </c>
      <c r="B918" s="2" t="s">
        <v>36</v>
      </c>
      <c r="C918" t="s">
        <v>48</v>
      </c>
      <c r="D918" t="s">
        <v>208</v>
      </c>
      <c r="E918" s="2">
        <v>45890</v>
      </c>
      <c r="F918" s="2" cm="1">
        <f t="array" ref="F918">_xlfn.IFS(B918="Owner Surrender",E918,B918="Stray",E918+6,B918="Stray w/identification",E918+11,B918="Bite",E918+10,B918="Other",E918+30,B918="BAS",E918+56,B918="Seized",E918)</f>
        <v>45890</v>
      </c>
      <c r="G918" s="2">
        <v>45897</v>
      </c>
      <c r="H918" s="5">
        <f t="shared" si="53"/>
        <v>7</v>
      </c>
      <c r="I918" s="5">
        <f t="shared" si="54"/>
        <v>7</v>
      </c>
      <c r="J918" s="2" t="s">
        <v>31</v>
      </c>
      <c r="K918" s="2" t="s">
        <v>587</v>
      </c>
      <c r="AD918" s="33" t="str">
        <f t="shared" si="55"/>
        <v>Thursday</v>
      </c>
    </row>
    <row r="919" spans="1:30" x14ac:dyDescent="0.2">
      <c r="A919" s="3">
        <v>41609</v>
      </c>
      <c r="B919" s="2" t="s">
        <v>36</v>
      </c>
      <c r="C919" t="s">
        <v>48</v>
      </c>
      <c r="D919" t="s">
        <v>208</v>
      </c>
      <c r="E919" s="2">
        <v>45890</v>
      </c>
      <c r="F919" s="2" cm="1">
        <f t="array" ref="F919">_xlfn.IFS(B919="Owner Surrender",E919,B919="Stray",E919+6,B919="Stray w/identification",E919+11,B919="Bite",E919+10,B919="Other",E919+30,B919="BAS",E919+56,B919="Seized",E919)</f>
        <v>45890</v>
      </c>
      <c r="G919" s="2">
        <v>45897</v>
      </c>
      <c r="H919" s="5">
        <f t="shared" si="53"/>
        <v>7</v>
      </c>
      <c r="I919" s="5">
        <f t="shared" si="54"/>
        <v>7</v>
      </c>
      <c r="J919" s="2" t="s">
        <v>31</v>
      </c>
      <c r="K919" s="2" t="s">
        <v>587</v>
      </c>
      <c r="AD919" s="33" t="str">
        <f t="shared" si="55"/>
        <v>Thursday</v>
      </c>
    </row>
    <row r="920" spans="1:30" x14ac:dyDescent="0.2">
      <c r="A920" s="3">
        <v>41610</v>
      </c>
      <c r="B920" s="2" t="s">
        <v>179</v>
      </c>
      <c r="C920" t="s">
        <v>627</v>
      </c>
      <c r="D920" t="s">
        <v>207</v>
      </c>
      <c r="E920" s="2">
        <v>45891</v>
      </c>
      <c r="F920" s="2" cm="1">
        <f t="array" ref="F920">_xlfn.IFS(B920="Owner Surrender",E920,B920="Stray",E920+6,B920="Stray w/identification",E920+11,B920="Bite",E920+10,B920="Other",E920+30,B920="BAS",E920+56,B920="Seized",E920)</f>
        <v>45902</v>
      </c>
      <c r="G920" s="2">
        <v>45895</v>
      </c>
      <c r="H920" s="5">
        <f t="shared" si="53"/>
        <v>4</v>
      </c>
      <c r="I920" s="5">
        <f t="shared" si="54"/>
        <v>-7</v>
      </c>
      <c r="J920" s="2" t="s">
        <v>8</v>
      </c>
      <c r="K920" s="2" t="s">
        <v>586</v>
      </c>
      <c r="AD920" s="33" t="str">
        <f t="shared" si="55"/>
        <v>Tuesday</v>
      </c>
    </row>
    <row r="921" spans="1:30" x14ac:dyDescent="0.2">
      <c r="A921" s="3">
        <v>41611</v>
      </c>
      <c r="B921" s="2" t="s">
        <v>38</v>
      </c>
      <c r="C921" t="s">
        <v>49</v>
      </c>
      <c r="D921" t="s">
        <v>207</v>
      </c>
      <c r="E921" s="2">
        <v>45891</v>
      </c>
      <c r="F921" s="2" cm="1">
        <f t="array" ref="F921">_xlfn.IFS(B921="Owner Surrender",E921,B921="Stray",E921+6,B921="Stray w/identification",E921+11,B921="Bite",E921+10,B921="Other",E921+30,B921="BAS",E921+56,B921="Seized",E921)</f>
        <v>45897</v>
      </c>
      <c r="G921" s="2">
        <v>45903</v>
      </c>
      <c r="H921" s="5">
        <f t="shared" si="53"/>
        <v>12</v>
      </c>
      <c r="I921" s="5">
        <f t="shared" si="54"/>
        <v>6</v>
      </c>
      <c r="J921" s="2" t="s">
        <v>31</v>
      </c>
      <c r="K921" s="2" t="s">
        <v>587</v>
      </c>
      <c r="AD921" s="33" t="str">
        <f t="shared" si="55"/>
        <v>Wednesday</v>
      </c>
    </row>
    <row r="922" spans="1:30" x14ac:dyDescent="0.2">
      <c r="A922" s="3">
        <v>41623</v>
      </c>
      <c r="B922" s="2" t="s">
        <v>36</v>
      </c>
      <c r="C922" t="s">
        <v>48</v>
      </c>
      <c r="D922" t="s">
        <v>209</v>
      </c>
      <c r="E922" s="2">
        <v>45891</v>
      </c>
      <c r="F922" s="2" cm="1">
        <f t="array" ref="F922">_xlfn.IFS(B922="Owner Surrender",E922,B922="Stray",E922+6,B922="Stray w/identification",E922+11,B922="Bite",E922+10,B922="Other",E922+30,B922="BAS",E922+56,B922="Seized",E922)</f>
        <v>45891</v>
      </c>
      <c r="G922" s="2">
        <v>45897</v>
      </c>
      <c r="H922" s="5">
        <f t="shared" si="53"/>
        <v>6</v>
      </c>
      <c r="I922" s="5">
        <f t="shared" si="54"/>
        <v>6</v>
      </c>
      <c r="J922" s="2" t="s">
        <v>31</v>
      </c>
      <c r="K922" s="2" t="s">
        <v>587</v>
      </c>
      <c r="AD922" s="33" t="str">
        <f t="shared" si="55"/>
        <v>Thursday</v>
      </c>
    </row>
    <row r="923" spans="1:30" x14ac:dyDescent="0.2">
      <c r="A923" s="3">
        <v>41624</v>
      </c>
      <c r="B923" s="2" t="s">
        <v>36</v>
      </c>
      <c r="C923" t="s">
        <v>48</v>
      </c>
      <c r="D923" t="s">
        <v>209</v>
      </c>
      <c r="E923" s="2">
        <v>45891</v>
      </c>
      <c r="F923" s="2" cm="1">
        <f t="array" ref="F923">_xlfn.IFS(B923="Owner Surrender",E923,B923="Stray",E923+6,B923="Stray w/identification",E923+11,B923="Bite",E923+10,B923="Other",E923+30,B923="BAS",E923+56,B923="Seized",E923)</f>
        <v>45891</v>
      </c>
      <c r="G923" s="2">
        <v>45897</v>
      </c>
      <c r="H923" s="5">
        <f t="shared" si="53"/>
        <v>6</v>
      </c>
      <c r="I923" s="5">
        <f t="shared" si="54"/>
        <v>6</v>
      </c>
      <c r="J923" s="2" t="s">
        <v>31</v>
      </c>
      <c r="K923" s="2" t="s">
        <v>587</v>
      </c>
      <c r="L923" t="s">
        <v>628</v>
      </c>
      <c r="AD923" s="33" t="str">
        <f t="shared" si="55"/>
        <v>Thursday</v>
      </c>
    </row>
    <row r="924" spans="1:30" x14ac:dyDescent="0.2">
      <c r="A924" s="3">
        <v>41633</v>
      </c>
      <c r="B924" s="2" t="s">
        <v>36</v>
      </c>
      <c r="C924" t="s">
        <v>507</v>
      </c>
      <c r="D924" t="s">
        <v>209</v>
      </c>
      <c r="E924" s="2">
        <v>45891</v>
      </c>
      <c r="F924" s="2" cm="1">
        <f t="array" ref="F924">_xlfn.IFS(B924="Owner Surrender",E924,B924="Stray",E924+6,B924="Stray w/identification",E924+11,B924="Bite",E924+10,B924="Other",E924+30,B924="BAS",E924+56,B924="Seized",E924)</f>
        <v>45891</v>
      </c>
      <c r="G924" s="2">
        <v>45905</v>
      </c>
      <c r="H924" s="5">
        <f t="shared" si="53"/>
        <v>14</v>
      </c>
      <c r="I924" s="5">
        <f t="shared" si="54"/>
        <v>14</v>
      </c>
      <c r="J924" s="2" t="s">
        <v>11</v>
      </c>
      <c r="K924" s="2" t="s">
        <v>586</v>
      </c>
      <c r="AD924" s="33" t="str">
        <f t="shared" si="55"/>
        <v>Friday</v>
      </c>
    </row>
    <row r="925" spans="1:30" x14ac:dyDescent="0.2">
      <c r="A925" s="3">
        <v>41634</v>
      </c>
      <c r="B925" s="2" t="s">
        <v>38</v>
      </c>
      <c r="C925" t="s">
        <v>507</v>
      </c>
      <c r="D925" t="s">
        <v>207</v>
      </c>
      <c r="E925" s="2">
        <v>45892</v>
      </c>
      <c r="F925" s="2" cm="1">
        <f t="array" ref="F925">_xlfn.IFS(B925="Owner Surrender",E925,B925="Stray",E925+6,B925="Stray w/identification",E925+11,B925="Bite",E925+10,B925="Other",E925+30,B925="BAS",E925+56,B925="Seized",E925)</f>
        <v>45898</v>
      </c>
      <c r="G925" s="2">
        <v>45902</v>
      </c>
      <c r="H925" s="5">
        <f t="shared" si="53"/>
        <v>10</v>
      </c>
      <c r="I925" s="5">
        <f t="shared" si="54"/>
        <v>4</v>
      </c>
      <c r="J925" s="2" t="s">
        <v>11</v>
      </c>
      <c r="K925" s="2" t="s">
        <v>586</v>
      </c>
      <c r="AD925" s="33" t="str">
        <f t="shared" si="55"/>
        <v>Tuesday</v>
      </c>
    </row>
    <row r="926" spans="1:30" x14ac:dyDescent="0.2">
      <c r="A926" s="3">
        <v>41635</v>
      </c>
      <c r="B926" s="2" t="s">
        <v>36</v>
      </c>
      <c r="C926" t="s">
        <v>55</v>
      </c>
      <c r="D926" t="s">
        <v>207</v>
      </c>
      <c r="E926" s="2">
        <v>45892</v>
      </c>
      <c r="F926" s="2" cm="1">
        <f t="array" ref="F926">_xlfn.IFS(B926="Owner Surrender",E926,B926="Stray",E926+6,B926="Stray w/identification",E926+11,B926="Bite",E926+10,B926="Other",E926+30,B926="BAS",E926+56,B926="Seized",E926)</f>
        <v>45892</v>
      </c>
      <c r="G926" s="2">
        <v>45896</v>
      </c>
      <c r="H926" s="5">
        <f t="shared" si="53"/>
        <v>4</v>
      </c>
      <c r="I926" s="5">
        <f t="shared" si="54"/>
        <v>4</v>
      </c>
      <c r="J926" s="2" t="s">
        <v>18</v>
      </c>
      <c r="K926" s="2" t="s">
        <v>586</v>
      </c>
      <c r="M926" t="s">
        <v>606</v>
      </c>
      <c r="AD926" s="33" t="str">
        <f t="shared" si="55"/>
        <v>Wednesday</v>
      </c>
    </row>
    <row r="927" spans="1:30" x14ac:dyDescent="0.2">
      <c r="A927" s="3">
        <v>41636</v>
      </c>
      <c r="B927" s="2" t="s">
        <v>36</v>
      </c>
      <c r="C927" t="s">
        <v>49</v>
      </c>
      <c r="D927" t="s">
        <v>209</v>
      </c>
      <c r="E927" s="2">
        <v>45892</v>
      </c>
      <c r="F927" s="2" cm="1">
        <f t="array" ref="F927">_xlfn.IFS(B927="Owner Surrender",E927,B927="Stray",E927+6,B927="Stray w/identification",E927+11,B927="Bite",E927+10,B927="Other",E927+30,B927="BAS",E927+56,B927="Seized",E927)</f>
        <v>45892</v>
      </c>
      <c r="G927" s="2">
        <v>45896</v>
      </c>
      <c r="H927" s="5">
        <f t="shared" si="53"/>
        <v>4</v>
      </c>
      <c r="I927" s="5">
        <f t="shared" si="54"/>
        <v>4</v>
      </c>
      <c r="J927" s="2" t="s">
        <v>18</v>
      </c>
      <c r="K927" s="2" t="s">
        <v>586</v>
      </c>
      <c r="M927" t="s">
        <v>606</v>
      </c>
      <c r="AD927" s="33" t="str">
        <f t="shared" si="55"/>
        <v>Wednesday</v>
      </c>
    </row>
    <row r="928" spans="1:30" x14ac:dyDescent="0.2">
      <c r="A928" s="3">
        <v>41637</v>
      </c>
      <c r="B928" s="2" t="s">
        <v>38</v>
      </c>
      <c r="C928" t="s">
        <v>148</v>
      </c>
      <c r="D928" t="s">
        <v>208</v>
      </c>
      <c r="E928" s="2">
        <v>45893</v>
      </c>
      <c r="F928" s="2" cm="1">
        <f t="array" ref="F928">_xlfn.IFS(B928="Owner Surrender",E928,B928="Stray",E928+6,B928="Stray w/identification",E928+11,B928="Bite",E928+10,B928="Other",E928+30,B928="BAS",E928+56,B928="Seized",E928)</f>
        <v>45899</v>
      </c>
      <c r="G928" s="2">
        <v>45912</v>
      </c>
      <c r="H928" s="5">
        <f t="shared" si="53"/>
        <v>19</v>
      </c>
      <c r="I928" s="5">
        <f t="shared" si="54"/>
        <v>13</v>
      </c>
      <c r="J928" s="2" t="s">
        <v>18</v>
      </c>
      <c r="K928" s="2" t="s">
        <v>586</v>
      </c>
      <c r="M928" t="s">
        <v>19</v>
      </c>
      <c r="AD928" s="33" t="str">
        <f t="shared" si="55"/>
        <v>Friday</v>
      </c>
    </row>
    <row r="929" spans="1:30" x14ac:dyDescent="0.2">
      <c r="A929" s="3">
        <v>41640</v>
      </c>
      <c r="B929" s="2" t="s">
        <v>36</v>
      </c>
      <c r="C929" t="s">
        <v>62</v>
      </c>
      <c r="D929" t="s">
        <v>207</v>
      </c>
      <c r="E929" s="2">
        <v>45893</v>
      </c>
      <c r="F929" s="2" cm="1">
        <f t="array" ref="F929">_xlfn.IFS(B929="Owner Surrender",E929,B929="Stray",E929+6,B929="Stray w/identification",E929+11,B929="Bite",E929+10,B929="Other",E929+30,B929="BAS",E929+56,B929="Seized",E929)</f>
        <v>45893</v>
      </c>
      <c r="G929" s="2">
        <v>45897</v>
      </c>
      <c r="H929" s="5">
        <f t="shared" si="53"/>
        <v>4</v>
      </c>
      <c r="I929" s="5">
        <f t="shared" si="54"/>
        <v>4</v>
      </c>
      <c r="J929" s="2" t="s">
        <v>31</v>
      </c>
      <c r="K929" s="2" t="s">
        <v>587</v>
      </c>
      <c r="AD929" s="33" t="str">
        <f t="shared" si="55"/>
        <v>Thursday</v>
      </c>
    </row>
    <row r="930" spans="1:30" x14ac:dyDescent="0.2">
      <c r="A930" s="3">
        <v>41641</v>
      </c>
      <c r="B930" s="2" t="s">
        <v>36</v>
      </c>
      <c r="C930" t="s">
        <v>512</v>
      </c>
      <c r="D930" t="s">
        <v>208</v>
      </c>
      <c r="E930" s="2">
        <v>45893</v>
      </c>
      <c r="F930" s="2" cm="1">
        <f t="array" ref="F930">_xlfn.IFS(B930="Owner Surrender",E930,B930="Stray",E930+6,B930="Stray w/identification",E930+11,B930="Bite",E930+10,B930="Other",E930+30,B930="BAS",E930+56,B930="Seized",E930)</f>
        <v>45893</v>
      </c>
      <c r="G930" s="2">
        <v>45908</v>
      </c>
      <c r="H930" s="5">
        <f t="shared" si="53"/>
        <v>15</v>
      </c>
      <c r="I930" s="5">
        <f t="shared" si="54"/>
        <v>15</v>
      </c>
      <c r="J930" s="2" t="s">
        <v>11</v>
      </c>
      <c r="K930" s="2" t="s">
        <v>587</v>
      </c>
      <c r="AD930" s="33" t="str">
        <f t="shared" si="55"/>
        <v>Monday</v>
      </c>
    </row>
    <row r="931" spans="1:30" x14ac:dyDescent="0.2">
      <c r="A931" s="3">
        <v>41642</v>
      </c>
      <c r="B931" s="2" t="s">
        <v>38</v>
      </c>
      <c r="C931" t="s">
        <v>49</v>
      </c>
      <c r="D931" t="s">
        <v>207</v>
      </c>
      <c r="E931" s="2">
        <v>45893</v>
      </c>
      <c r="F931" s="2" cm="1">
        <f t="array" ref="F931">_xlfn.IFS(B931="Owner Surrender",E931,B931="Stray",E931+6,B931="Stray w/identification",E931+11,B931="Bite",E931+10,B931="Other",E931+30,B931="BAS",E931+56,B931="Seized",E931)</f>
        <v>45899</v>
      </c>
      <c r="G931" s="2">
        <v>45903</v>
      </c>
      <c r="H931" s="5">
        <f t="shared" si="53"/>
        <v>10</v>
      </c>
      <c r="I931" s="5">
        <f t="shared" si="54"/>
        <v>4</v>
      </c>
      <c r="J931" s="2" t="s">
        <v>31</v>
      </c>
      <c r="K931" s="2" t="s">
        <v>587</v>
      </c>
      <c r="M931" t="s">
        <v>629</v>
      </c>
      <c r="AD931" s="33" t="str">
        <f t="shared" si="55"/>
        <v>Wednesday</v>
      </c>
    </row>
    <row r="932" spans="1:30" x14ac:dyDescent="0.2">
      <c r="A932" s="3">
        <v>41643</v>
      </c>
      <c r="B932" s="2" t="s">
        <v>38</v>
      </c>
      <c r="C932" t="s">
        <v>49</v>
      </c>
      <c r="D932" t="s">
        <v>207</v>
      </c>
      <c r="E932" s="2">
        <v>45893</v>
      </c>
      <c r="F932" s="2" cm="1">
        <f t="array" ref="F932">_xlfn.IFS(B932="Owner Surrender",E932,B932="Stray",E932+6,B932="Stray w/identification",E932+11,B932="Bite",E932+10,B932="Other",E932+30,B932="BAS",E932+56,B932="Seized",E932)</f>
        <v>45899</v>
      </c>
      <c r="G932" s="2">
        <v>45903</v>
      </c>
      <c r="H932" s="5">
        <f t="shared" si="53"/>
        <v>10</v>
      </c>
      <c r="I932" s="5">
        <f t="shared" si="54"/>
        <v>4</v>
      </c>
      <c r="J932" s="2" t="s">
        <v>31</v>
      </c>
      <c r="K932" s="2" t="s">
        <v>587</v>
      </c>
      <c r="M932" t="s">
        <v>629</v>
      </c>
      <c r="AD932" s="33" t="str">
        <f t="shared" si="55"/>
        <v>Wednesday</v>
      </c>
    </row>
    <row r="933" spans="1:30" x14ac:dyDescent="0.2">
      <c r="A933" s="3">
        <v>41645</v>
      </c>
      <c r="B933" s="2" t="s">
        <v>36</v>
      </c>
      <c r="C933" t="s">
        <v>48</v>
      </c>
      <c r="D933" t="s">
        <v>209</v>
      </c>
      <c r="E933" s="2">
        <v>45895</v>
      </c>
      <c r="F933" s="2" cm="1">
        <f t="array" ref="F933">_xlfn.IFS(B933="Owner Surrender",E933,B933="Stray",E933+6,B933="Stray w/identification",E933+11,B933="Bite",E933+10,B933="Other",E933+30,B933="BAS",E933+56,B933="Seized",E933)</f>
        <v>45895</v>
      </c>
      <c r="G933" s="2">
        <v>45911</v>
      </c>
      <c r="H933" s="5">
        <f t="shared" si="53"/>
        <v>16</v>
      </c>
      <c r="I933" s="5">
        <f t="shared" si="54"/>
        <v>16</v>
      </c>
      <c r="J933" s="2" t="s">
        <v>31</v>
      </c>
      <c r="K933" s="2" t="s">
        <v>587</v>
      </c>
      <c r="AD933" s="33" t="str">
        <f t="shared" si="55"/>
        <v>Thursday</v>
      </c>
    </row>
    <row r="934" spans="1:30" x14ac:dyDescent="0.2">
      <c r="A934" s="3">
        <v>41649</v>
      </c>
      <c r="B934" s="2" t="s">
        <v>36</v>
      </c>
      <c r="C934" t="s">
        <v>48</v>
      </c>
      <c r="D934" t="s">
        <v>207</v>
      </c>
      <c r="E934" s="2">
        <v>45894</v>
      </c>
      <c r="F934" s="2" cm="1">
        <f t="array" ref="F934">_xlfn.IFS(B934="Owner Surrender",E934,B934="Stray",E934+6,B934="Stray w/identification",E934+11,B934="Bite",E934+10,B934="Other",E934+30,B934="BAS",E934+56,B934="Seized",E934)</f>
        <v>45894</v>
      </c>
      <c r="G934" s="2">
        <v>45896</v>
      </c>
      <c r="H934" s="5">
        <f t="shared" si="53"/>
        <v>2</v>
      </c>
      <c r="I934" s="5">
        <f t="shared" si="54"/>
        <v>2</v>
      </c>
      <c r="J934" s="2" t="s">
        <v>18</v>
      </c>
      <c r="K934" s="2" t="s">
        <v>586</v>
      </c>
      <c r="M934" t="s">
        <v>606</v>
      </c>
      <c r="AD934" s="33" t="str">
        <f t="shared" si="55"/>
        <v>Wednesday</v>
      </c>
    </row>
    <row r="935" spans="1:30" x14ac:dyDescent="0.2">
      <c r="A935" s="3">
        <v>41651</v>
      </c>
      <c r="B935" s="2" t="s">
        <v>36</v>
      </c>
      <c r="C935" t="s">
        <v>48</v>
      </c>
      <c r="D935" t="s">
        <v>207</v>
      </c>
      <c r="E935" s="2">
        <v>45894</v>
      </c>
      <c r="F935" s="2" cm="1">
        <f t="array" ref="F935">_xlfn.IFS(B935="Owner Surrender",E935,B935="Stray",E935+6,B935="Stray w/identification",E935+11,B935="Bite",E935+10,B935="Other",E935+30,B935="BAS",E935+56,B935="Seized",E935)</f>
        <v>45894</v>
      </c>
      <c r="G935" s="2">
        <v>45903</v>
      </c>
      <c r="H935" s="5">
        <f t="shared" si="53"/>
        <v>9</v>
      </c>
      <c r="I935" s="5">
        <f t="shared" si="54"/>
        <v>9</v>
      </c>
      <c r="J935" s="2" t="s">
        <v>31</v>
      </c>
      <c r="K935" s="2" t="s">
        <v>587</v>
      </c>
      <c r="AD935" s="33" t="str">
        <f t="shared" si="55"/>
        <v>Wednesday</v>
      </c>
    </row>
    <row r="936" spans="1:30" x14ac:dyDescent="0.2">
      <c r="A936" s="3">
        <v>41654</v>
      </c>
      <c r="B936" s="2" t="s">
        <v>38</v>
      </c>
      <c r="C936" t="s">
        <v>78</v>
      </c>
      <c r="D936" t="s">
        <v>207</v>
      </c>
      <c r="E936" s="2">
        <v>45894</v>
      </c>
      <c r="F936" s="2" cm="1">
        <f t="array" ref="F936">_xlfn.IFS(B936="Owner Surrender",E936,B936="Stray",E936+6,B936="Stray w/identification",E936+11,B936="Bite",E936+10,B936="Other",E936+30,B936="BAS",E936+56,B936="Seized",E936)</f>
        <v>45900</v>
      </c>
      <c r="G936" s="2">
        <v>45896</v>
      </c>
      <c r="H936" s="5">
        <f t="shared" si="53"/>
        <v>2</v>
      </c>
      <c r="I936" s="5">
        <f t="shared" si="54"/>
        <v>-4</v>
      </c>
      <c r="J936" s="2" t="s">
        <v>8</v>
      </c>
      <c r="K936" s="2" t="s">
        <v>586</v>
      </c>
      <c r="AD936" s="33" t="str">
        <f t="shared" si="55"/>
        <v>Wednesday</v>
      </c>
    </row>
    <row r="937" spans="1:30" x14ac:dyDescent="0.2">
      <c r="A937" s="3">
        <v>41655</v>
      </c>
      <c r="B937" s="2" t="s">
        <v>179</v>
      </c>
      <c r="C937" t="s">
        <v>83</v>
      </c>
      <c r="D937" t="s">
        <v>207</v>
      </c>
      <c r="E937" s="2">
        <v>45894</v>
      </c>
      <c r="F937" s="2" cm="1">
        <f t="array" ref="F937">_xlfn.IFS(B937="Owner Surrender",E937,B937="Stray",E937+6,B937="Stray w/identification",E937+11,B937="Bite",E937+10,B937="Other",E937+30,B937="BAS",E937+56,B937="Seized",E937)</f>
        <v>45905</v>
      </c>
      <c r="G937" s="2">
        <v>45896</v>
      </c>
      <c r="H937" s="5">
        <f t="shared" si="53"/>
        <v>2</v>
      </c>
      <c r="I937" s="5">
        <f t="shared" si="54"/>
        <v>-9</v>
      </c>
      <c r="J937" s="2" t="s">
        <v>8</v>
      </c>
      <c r="K937" s="2" t="s">
        <v>586</v>
      </c>
      <c r="AD937" s="33" t="str">
        <f t="shared" si="55"/>
        <v>Wednesday</v>
      </c>
    </row>
    <row r="938" spans="1:30" x14ac:dyDescent="0.2">
      <c r="A938" s="3">
        <v>41657</v>
      </c>
      <c r="B938" s="2" t="s">
        <v>38</v>
      </c>
      <c r="C938" t="s">
        <v>48</v>
      </c>
      <c r="D938" t="s">
        <v>207</v>
      </c>
      <c r="E938" s="2">
        <v>45895</v>
      </c>
      <c r="F938" s="2" cm="1">
        <f t="array" ref="F938">_xlfn.IFS(B938="Owner Surrender",E938,B938="Stray",E938+6,B938="Stray w/identification",E938+11,B938="Bite",E938+10,B938="Other",E938+30,B938="BAS",E938+56,B938="Seized",E938)</f>
        <v>45901</v>
      </c>
      <c r="H938" s="5">
        <f t="shared" si="53"/>
        <v>-45895</v>
      </c>
      <c r="I938" s="5">
        <f t="shared" si="54"/>
        <v>-45901</v>
      </c>
      <c r="J938" s="2" t="s">
        <v>21</v>
      </c>
      <c r="K938" s="2" t="s">
        <v>586</v>
      </c>
      <c r="AD938" s="33" t="str">
        <f t="shared" si="55"/>
        <v>Saturday</v>
      </c>
    </row>
    <row r="939" spans="1:30" x14ac:dyDescent="0.2">
      <c r="A939" s="3">
        <v>41659</v>
      </c>
      <c r="B939" s="2" t="s">
        <v>36</v>
      </c>
      <c r="C939" t="s">
        <v>148</v>
      </c>
      <c r="D939" t="s">
        <v>209</v>
      </c>
      <c r="E939" s="2">
        <v>45895</v>
      </c>
      <c r="F939" s="2" cm="1">
        <f t="array" ref="F939">_xlfn.IFS(B939="Owner Surrender",E939,B939="Stray",E939+6,B939="Stray w/identification",E939+11,B939="Bite",E939+10,B939="Other",E939+30,B939="BAS",E939+56,B939="Seized",E939)</f>
        <v>45895</v>
      </c>
      <c r="G939" s="2">
        <v>45897</v>
      </c>
      <c r="H939" s="5">
        <f t="shared" si="53"/>
        <v>2</v>
      </c>
      <c r="I939" s="5">
        <f t="shared" si="54"/>
        <v>2</v>
      </c>
      <c r="J939" s="2" t="s">
        <v>31</v>
      </c>
      <c r="K939" s="2" t="s">
        <v>587</v>
      </c>
      <c r="AD939" s="33" t="str">
        <f t="shared" si="55"/>
        <v>Thursday</v>
      </c>
    </row>
    <row r="940" spans="1:30" x14ac:dyDescent="0.2">
      <c r="A940" s="3">
        <v>41663</v>
      </c>
      <c r="B940" s="2" t="s">
        <v>179</v>
      </c>
      <c r="C940" t="s">
        <v>630</v>
      </c>
      <c r="D940" t="s">
        <v>207</v>
      </c>
      <c r="E940" s="2">
        <v>45895</v>
      </c>
      <c r="F940" s="2" cm="1">
        <f t="array" ref="F940">_xlfn.IFS(B940="Owner Surrender",E940,B940="Stray",E940+6,B940="Stray w/identification",E940+11,B940="Bite",E940+10,B940="Other",E940+30,B940="BAS",E940+56,B940="Seized",E940)</f>
        <v>45906</v>
      </c>
      <c r="G940" s="2">
        <v>45909</v>
      </c>
      <c r="H940" s="5">
        <f t="shared" si="53"/>
        <v>14</v>
      </c>
      <c r="I940" s="5">
        <f t="shared" si="54"/>
        <v>3</v>
      </c>
      <c r="J940" s="2" t="s">
        <v>31</v>
      </c>
      <c r="K940" s="2" t="s">
        <v>587</v>
      </c>
      <c r="AD940" s="33" t="str">
        <f t="shared" si="55"/>
        <v>Tuesday</v>
      </c>
    </row>
    <row r="941" spans="1:30" x14ac:dyDescent="0.2">
      <c r="A941" s="3">
        <v>41665</v>
      </c>
      <c r="B941" s="2" t="s">
        <v>60</v>
      </c>
      <c r="C941" t="s">
        <v>55</v>
      </c>
      <c r="D941" t="s">
        <v>207</v>
      </c>
      <c r="E941" s="2">
        <v>45895</v>
      </c>
      <c r="F941" s="2" cm="1">
        <f t="array" ref="F941">_xlfn.IFS(B941="Owner Surrender",E941,B941="Stray",E941+6,B941="Stray w/identification",E941+11,B941="Bite",E941+10,B941="Other",E941+30,B941="BAS",E941+56,B941="Seized",E941)</f>
        <v>45925</v>
      </c>
      <c r="G941" s="2">
        <v>45895</v>
      </c>
      <c r="H941" s="5">
        <f t="shared" si="53"/>
        <v>0</v>
      </c>
      <c r="I941" s="5">
        <f t="shared" si="54"/>
        <v>-30</v>
      </c>
      <c r="J941" s="2" t="s">
        <v>8</v>
      </c>
      <c r="K941" s="2" t="s">
        <v>586</v>
      </c>
      <c r="AD941" s="33" t="str">
        <f t="shared" si="55"/>
        <v>Tuesday</v>
      </c>
    </row>
    <row r="942" spans="1:30" x14ac:dyDescent="0.2">
      <c r="A942" s="3">
        <v>41670</v>
      </c>
      <c r="B942" s="2" t="s">
        <v>43</v>
      </c>
      <c r="C942" t="s">
        <v>48</v>
      </c>
      <c r="D942" t="s">
        <v>208</v>
      </c>
      <c r="E942" s="2">
        <v>45894</v>
      </c>
      <c r="F942" s="2" cm="1">
        <f t="array" ref="F942">_xlfn.IFS(B942="Owner Surrender",E942,B942="Stray",E942+6,B942="Stray w/identification",E942+11,B942="Bite",E942+10,B942="Other",E942+30,B942="BAS",E942+56,B942="Seized",E942)</f>
        <v>45950</v>
      </c>
      <c r="G942" s="2">
        <v>45903</v>
      </c>
      <c r="H942" s="5">
        <f t="shared" si="53"/>
        <v>9</v>
      </c>
      <c r="I942" s="5">
        <f t="shared" si="54"/>
        <v>-47</v>
      </c>
      <c r="J942" s="2" t="s">
        <v>31</v>
      </c>
      <c r="K942" s="2" t="s">
        <v>587</v>
      </c>
      <c r="AD942" s="33" t="str">
        <f t="shared" si="55"/>
        <v>Wednesday</v>
      </c>
    </row>
    <row r="943" spans="1:30" x14ac:dyDescent="0.2">
      <c r="A943" s="3">
        <v>41671</v>
      </c>
      <c r="B943" s="2" t="s">
        <v>43</v>
      </c>
      <c r="C943" t="s">
        <v>48</v>
      </c>
      <c r="D943" t="s">
        <v>208</v>
      </c>
      <c r="E943" s="2">
        <v>45894</v>
      </c>
      <c r="F943" s="2" cm="1">
        <f t="array" ref="F943">_xlfn.IFS(B943="Owner Surrender",E943,B943="Stray",E943+6,B943="Stray w/identification",E943+11,B943="Bite",E943+10,B943="Other",E943+30,B943="BAS",E943+56,B943="Seized",E943)</f>
        <v>45950</v>
      </c>
      <c r="G943" s="2">
        <v>45903</v>
      </c>
      <c r="H943" s="5">
        <f t="shared" si="53"/>
        <v>9</v>
      </c>
      <c r="I943" s="5">
        <f t="shared" si="54"/>
        <v>-47</v>
      </c>
      <c r="J943" s="2" t="s">
        <v>31</v>
      </c>
      <c r="K943" s="2" t="s">
        <v>587</v>
      </c>
      <c r="AD943" s="33" t="str">
        <f t="shared" si="55"/>
        <v>Wednesday</v>
      </c>
    </row>
    <row r="944" spans="1:30" x14ac:dyDescent="0.2">
      <c r="A944" s="3">
        <v>41672</v>
      </c>
      <c r="B944" s="2" t="s">
        <v>43</v>
      </c>
      <c r="C944" t="s">
        <v>48</v>
      </c>
      <c r="D944" t="s">
        <v>208</v>
      </c>
      <c r="E944" s="2">
        <v>45894</v>
      </c>
      <c r="F944" s="2" cm="1">
        <f t="array" ref="F944">_xlfn.IFS(B944="Owner Surrender",E944,B944="Stray",E944+6,B944="Stray w/identification",E944+11,B944="Bite",E944+10,B944="Other",E944+30,B944="BAS",E944+56,B944="Seized",E944)</f>
        <v>45950</v>
      </c>
      <c r="G944" s="2">
        <v>45903</v>
      </c>
      <c r="H944" s="5">
        <f t="shared" si="53"/>
        <v>9</v>
      </c>
      <c r="I944" s="5">
        <f t="shared" si="54"/>
        <v>-47</v>
      </c>
      <c r="J944" s="2" t="s">
        <v>31</v>
      </c>
      <c r="K944" s="2" t="s">
        <v>587</v>
      </c>
      <c r="AD944" s="33" t="str">
        <f t="shared" si="55"/>
        <v>Wednesday</v>
      </c>
    </row>
    <row r="945" spans="1:30" x14ac:dyDescent="0.2">
      <c r="A945" s="3">
        <v>41673</v>
      </c>
      <c r="B945" s="2" t="s">
        <v>43</v>
      </c>
      <c r="C945" t="s">
        <v>48</v>
      </c>
      <c r="D945" t="s">
        <v>208</v>
      </c>
      <c r="E945" s="2">
        <v>45894</v>
      </c>
      <c r="F945" s="2" cm="1">
        <f t="array" ref="F945">_xlfn.IFS(B945="Owner Surrender",E945,B945="Stray",E945+6,B945="Stray w/identification",E945+11,B945="Bite",E945+10,B945="Other",E945+30,B945="BAS",E945+56,B945="Seized",E945)</f>
        <v>45950</v>
      </c>
      <c r="G945" s="2">
        <v>45903</v>
      </c>
      <c r="H945" s="5">
        <f t="shared" si="53"/>
        <v>9</v>
      </c>
      <c r="I945" s="5">
        <f t="shared" si="54"/>
        <v>-47</v>
      </c>
      <c r="J945" s="2" t="s">
        <v>31</v>
      </c>
      <c r="K945" s="2" t="s">
        <v>587</v>
      </c>
      <c r="AD945" s="33" t="str">
        <f t="shared" si="55"/>
        <v>Wednesday</v>
      </c>
    </row>
    <row r="946" spans="1:30" x14ac:dyDescent="0.2">
      <c r="A946" s="3">
        <v>41674</v>
      </c>
      <c r="B946" s="2" t="s">
        <v>43</v>
      </c>
      <c r="C946" t="s">
        <v>48</v>
      </c>
      <c r="D946" t="s">
        <v>208</v>
      </c>
      <c r="E946" s="2">
        <v>45894</v>
      </c>
      <c r="F946" s="2" cm="1">
        <f t="array" ref="F946">_xlfn.IFS(B946="Owner Surrender",E946,B946="Stray",E946+6,B946="Stray w/identification",E946+11,B946="Bite",E946+10,B946="Other",E946+30,B946="BAS",E946+56,B946="Seized",E946)</f>
        <v>45950</v>
      </c>
      <c r="G946" s="2">
        <v>45896</v>
      </c>
      <c r="H946" s="5">
        <f t="shared" si="53"/>
        <v>2</v>
      </c>
      <c r="I946" s="5">
        <f t="shared" si="54"/>
        <v>-54</v>
      </c>
      <c r="J946" s="2" t="s">
        <v>28</v>
      </c>
      <c r="K946" s="2" t="s">
        <v>586</v>
      </c>
      <c r="AD946" s="33" t="str">
        <f t="shared" si="55"/>
        <v>Wednesday</v>
      </c>
    </row>
    <row r="947" spans="1:30" x14ac:dyDescent="0.2">
      <c r="A947" s="3">
        <v>41677</v>
      </c>
      <c r="B947" s="2" t="s">
        <v>36</v>
      </c>
      <c r="C947" t="s">
        <v>48</v>
      </c>
      <c r="D947" t="s">
        <v>207</v>
      </c>
      <c r="E947" s="2">
        <v>45895</v>
      </c>
      <c r="F947" s="2" cm="1">
        <f t="array" ref="F947">_xlfn.IFS(B947="Owner Surrender",E947,B947="Stray",E947+6,B947="Stray w/identification",E947+11,B947="Bite",E947+10,B947="Other",E947+30,B947="BAS",E947+56,B947="Seized",E947)</f>
        <v>45895</v>
      </c>
      <c r="G947" s="2">
        <v>45905</v>
      </c>
      <c r="H947" s="5">
        <f t="shared" si="53"/>
        <v>10</v>
      </c>
      <c r="I947" s="5">
        <f t="shared" si="54"/>
        <v>10</v>
      </c>
      <c r="J947" s="2" t="s">
        <v>31</v>
      </c>
      <c r="K947" s="2" t="s">
        <v>594</v>
      </c>
      <c r="AD947" s="33" t="str">
        <f t="shared" si="55"/>
        <v>Friday</v>
      </c>
    </row>
    <row r="948" spans="1:30" x14ac:dyDescent="0.2">
      <c r="A948" s="3">
        <v>41679</v>
      </c>
      <c r="B948" s="2" t="s">
        <v>179</v>
      </c>
      <c r="C948" t="s">
        <v>139</v>
      </c>
      <c r="D948" t="s">
        <v>207</v>
      </c>
      <c r="E948" s="2">
        <v>45896</v>
      </c>
      <c r="F948" s="2" cm="1">
        <f t="array" ref="F948">_xlfn.IFS(B948="Owner Surrender",E948,B948="Stray",E948+6,B948="Stray w/identification",E948+11,B948="Bite",E948+10,B948="Other",E948+30,B948="BAS",E948+56,B948="Seized",E948)</f>
        <v>45907</v>
      </c>
      <c r="G948" s="2">
        <v>45897</v>
      </c>
      <c r="H948" s="5">
        <f t="shared" si="53"/>
        <v>1</v>
      </c>
      <c r="I948" s="5">
        <f t="shared" si="54"/>
        <v>-10</v>
      </c>
      <c r="J948" s="2" t="s">
        <v>8</v>
      </c>
      <c r="K948" s="2" t="s">
        <v>586</v>
      </c>
      <c r="AD948" s="33" t="str">
        <f t="shared" si="55"/>
        <v>Thursday</v>
      </c>
    </row>
    <row r="949" spans="1:30" x14ac:dyDescent="0.2">
      <c r="A949" s="3">
        <v>41680</v>
      </c>
      <c r="B949" s="2" t="s">
        <v>179</v>
      </c>
      <c r="C949" t="s">
        <v>70</v>
      </c>
      <c r="D949" t="s">
        <v>207</v>
      </c>
      <c r="E949" s="2">
        <v>45897</v>
      </c>
      <c r="F949" s="2" cm="1">
        <f t="array" ref="F949">_xlfn.IFS(B949="Owner Surrender",E949,B949="Stray",E949+6,B949="Stray w/identification",E949+11,B949="Bite",E949+10,B949="Other",E949+30,B949="BAS",E949+56,B949="Seized",E949)</f>
        <v>45908</v>
      </c>
      <c r="G949" s="2">
        <v>45912</v>
      </c>
      <c r="H949" s="5">
        <f t="shared" si="53"/>
        <v>15</v>
      </c>
      <c r="I949" s="5">
        <f t="shared" si="54"/>
        <v>4</v>
      </c>
      <c r="J949" s="2" t="s">
        <v>18</v>
      </c>
      <c r="K949" s="2" t="s">
        <v>586</v>
      </c>
      <c r="M949" t="s">
        <v>19</v>
      </c>
      <c r="AD949" s="33" t="str">
        <f t="shared" si="55"/>
        <v>Friday</v>
      </c>
    </row>
    <row r="950" spans="1:30" x14ac:dyDescent="0.2">
      <c r="A950" s="3">
        <v>41682</v>
      </c>
      <c r="B950" s="2" t="s">
        <v>179</v>
      </c>
      <c r="C950" t="s">
        <v>78</v>
      </c>
      <c r="D950" t="s">
        <v>207</v>
      </c>
      <c r="E950" s="2">
        <v>45897</v>
      </c>
      <c r="F950" s="2" cm="1">
        <f t="array" ref="F950">_xlfn.IFS(B950="Owner Surrender",E950,B950="Stray",E950+6,B950="Stray w/identification",E950+11,B950="Bite",E950+10,B950="Other",E950+30,B950="BAS",E950+56,B950="Seized",E950)</f>
        <v>45908</v>
      </c>
      <c r="G950" s="2">
        <v>45897</v>
      </c>
      <c r="H950" s="5">
        <f t="shared" si="53"/>
        <v>0</v>
      </c>
      <c r="I950" s="5">
        <f t="shared" si="54"/>
        <v>-11</v>
      </c>
      <c r="J950" s="2" t="s">
        <v>8</v>
      </c>
      <c r="K950" s="2" t="s">
        <v>586</v>
      </c>
      <c r="AD950" s="33" t="str">
        <f t="shared" si="55"/>
        <v>Thursday</v>
      </c>
    </row>
    <row r="951" spans="1:30" x14ac:dyDescent="0.2">
      <c r="A951" s="3">
        <v>41683</v>
      </c>
      <c r="B951" s="2" t="s">
        <v>179</v>
      </c>
      <c r="C951" t="s">
        <v>474</v>
      </c>
      <c r="D951" t="s">
        <v>209</v>
      </c>
      <c r="E951" s="2">
        <v>45897</v>
      </c>
      <c r="F951" s="2" cm="1">
        <f t="array" ref="F951">_xlfn.IFS(B951="Owner Surrender",E951,B951="Stray",E951+6,B951="Stray w/identification",E951+11,B951="Bite",E951+10,B951="Other",E951+30,B951="BAS",E951+56,B951="Seized",E951)</f>
        <v>45908</v>
      </c>
      <c r="G951" s="2">
        <v>45897</v>
      </c>
      <c r="H951" s="5">
        <f t="shared" si="53"/>
        <v>0</v>
      </c>
      <c r="I951" s="5">
        <f t="shared" si="54"/>
        <v>-11</v>
      </c>
      <c r="J951" s="2" t="s">
        <v>8</v>
      </c>
      <c r="K951" s="2" t="s">
        <v>586</v>
      </c>
      <c r="AD951" s="33" t="str">
        <f t="shared" si="55"/>
        <v>Thursday</v>
      </c>
    </row>
    <row r="952" spans="1:30" x14ac:dyDescent="0.2">
      <c r="A952" s="3">
        <v>41684</v>
      </c>
      <c r="B952" s="2" t="s">
        <v>36</v>
      </c>
      <c r="C952" t="s">
        <v>474</v>
      </c>
      <c r="D952" t="s">
        <v>207</v>
      </c>
      <c r="E952" s="2">
        <v>45897</v>
      </c>
      <c r="F952" s="2" cm="1">
        <f t="array" ref="F952">_xlfn.IFS(B952="Owner Surrender",E952,B952="Stray",E952+6,B952="Stray w/identification",E952+11,B952="Bite",E952+10,B952="Other",E952+30,B952="BAS",E952+56,B952="Seized",E952)</f>
        <v>45897</v>
      </c>
      <c r="G952" s="2">
        <v>45898</v>
      </c>
      <c r="H952" s="5">
        <f t="shared" si="53"/>
        <v>1</v>
      </c>
      <c r="I952" s="5">
        <f t="shared" si="54"/>
        <v>1</v>
      </c>
      <c r="J952" s="2" t="s">
        <v>31</v>
      </c>
      <c r="K952" s="2" t="s">
        <v>594</v>
      </c>
      <c r="L952" t="s">
        <v>96</v>
      </c>
      <c r="M952" s="4" t="s">
        <v>631</v>
      </c>
      <c r="AD952" s="33" t="str">
        <f t="shared" si="55"/>
        <v>Friday</v>
      </c>
    </row>
    <row r="953" spans="1:30" x14ac:dyDescent="0.2">
      <c r="A953" s="3">
        <v>41685</v>
      </c>
      <c r="B953" s="2" t="s">
        <v>36</v>
      </c>
      <c r="C953" t="s">
        <v>474</v>
      </c>
      <c r="D953" t="s">
        <v>208</v>
      </c>
      <c r="E953" s="2">
        <v>45897</v>
      </c>
      <c r="F953" s="2" cm="1">
        <f t="array" ref="F953">_xlfn.IFS(B953="Owner Surrender",E953,B953="Stray",E953+6,B953="Stray w/identification",E953+11,B953="Bite",E953+10,B953="Other",E953+30,B953="BAS",E953+56,B953="Seized",E953)</f>
        <v>45897</v>
      </c>
      <c r="G953" s="2">
        <v>45898</v>
      </c>
      <c r="H953" s="5">
        <f t="shared" si="53"/>
        <v>1</v>
      </c>
      <c r="I953" s="5">
        <f t="shared" si="54"/>
        <v>1</v>
      </c>
      <c r="J953" s="2" t="s">
        <v>31</v>
      </c>
      <c r="K953" s="2" t="s">
        <v>587</v>
      </c>
      <c r="M953" s="4" t="s">
        <v>632</v>
      </c>
      <c r="AD953" s="33" t="str">
        <f t="shared" si="55"/>
        <v>Friday</v>
      </c>
    </row>
    <row r="954" spans="1:30" x14ac:dyDescent="0.2">
      <c r="A954" s="3">
        <v>41686</v>
      </c>
      <c r="B954" s="2" t="s">
        <v>36</v>
      </c>
      <c r="C954" t="s">
        <v>474</v>
      </c>
      <c r="D954" t="s">
        <v>208</v>
      </c>
      <c r="E954" s="2">
        <v>45897</v>
      </c>
      <c r="F954" s="2" cm="1">
        <f t="array" ref="F954">_xlfn.IFS(B954="Owner Surrender",E954,B954="Stray",E954+6,B954="Stray w/identification",E954+11,B954="Bite",E954+10,B954="Other",E954+30,B954="BAS",E954+56,B954="Seized",E954)</f>
        <v>45897</v>
      </c>
      <c r="G954" s="2">
        <v>45898</v>
      </c>
      <c r="H954" s="5">
        <f t="shared" si="53"/>
        <v>1</v>
      </c>
      <c r="I954" s="5">
        <f t="shared" si="54"/>
        <v>1</v>
      </c>
      <c r="J954" s="2" t="s">
        <v>31</v>
      </c>
      <c r="K954" s="2" t="s">
        <v>587</v>
      </c>
      <c r="M954" s="4" t="s">
        <v>632</v>
      </c>
      <c r="AD954" s="33" t="str">
        <f t="shared" si="55"/>
        <v>Friday</v>
      </c>
    </row>
    <row r="955" spans="1:30" x14ac:dyDescent="0.2">
      <c r="A955" s="3">
        <v>41687</v>
      </c>
      <c r="B955" s="2" t="s">
        <v>36</v>
      </c>
      <c r="C955" t="s">
        <v>474</v>
      </c>
      <c r="D955" t="s">
        <v>208</v>
      </c>
      <c r="E955" s="2">
        <v>45897</v>
      </c>
      <c r="F955" s="2" cm="1">
        <f t="array" ref="F955">_xlfn.IFS(B955="Owner Surrender",E955,B955="Stray",E955+6,B955="Stray w/identification",E955+11,B955="Bite",E955+10,B955="Other",E955+30,B955="BAS",E955+56,B955="Seized",E955)</f>
        <v>45897</v>
      </c>
      <c r="G955" s="2">
        <v>45898</v>
      </c>
      <c r="H955" s="5">
        <f t="shared" si="53"/>
        <v>1</v>
      </c>
      <c r="I955" s="5">
        <f t="shared" si="54"/>
        <v>1</v>
      </c>
      <c r="J955" s="2" t="s">
        <v>31</v>
      </c>
      <c r="K955" s="2" t="s">
        <v>587</v>
      </c>
      <c r="M955" s="4" t="s">
        <v>632</v>
      </c>
      <c r="AD955" s="33" t="str">
        <f t="shared" si="55"/>
        <v>Friday</v>
      </c>
    </row>
    <row r="956" spans="1:30" x14ac:dyDescent="0.2">
      <c r="A956" s="3">
        <v>41688</v>
      </c>
      <c r="B956" s="2" t="s">
        <v>36</v>
      </c>
      <c r="C956" t="s">
        <v>474</v>
      </c>
      <c r="D956" t="s">
        <v>208</v>
      </c>
      <c r="E956" s="2">
        <v>45897</v>
      </c>
      <c r="F956" s="2" cm="1">
        <f t="array" ref="F956">_xlfn.IFS(B956="Owner Surrender",E956,B956="Stray",E956+6,B956="Stray w/identification",E956+11,B956="Bite",E956+10,B956="Other",E956+30,B956="BAS",E956+56,B956="Seized",E956)</f>
        <v>45897</v>
      </c>
      <c r="G956" s="2">
        <v>45898</v>
      </c>
      <c r="H956" s="5">
        <f t="shared" si="53"/>
        <v>1</v>
      </c>
      <c r="I956" s="5">
        <f t="shared" si="54"/>
        <v>1</v>
      </c>
      <c r="J956" s="2" t="s">
        <v>31</v>
      </c>
      <c r="K956" s="2" t="s">
        <v>587</v>
      </c>
      <c r="M956" s="4" t="s">
        <v>632</v>
      </c>
      <c r="AD956" s="33" t="str">
        <f t="shared" si="55"/>
        <v>Friday</v>
      </c>
    </row>
    <row r="957" spans="1:30" x14ac:dyDescent="0.2">
      <c r="A957" s="3">
        <v>41689</v>
      </c>
      <c r="B957" s="2" t="s">
        <v>36</v>
      </c>
      <c r="C957" t="s">
        <v>474</v>
      </c>
      <c r="D957" t="s">
        <v>208</v>
      </c>
      <c r="E957" s="2">
        <v>45897</v>
      </c>
      <c r="F957" s="2" cm="1">
        <f t="array" ref="F957">_xlfn.IFS(B957="Owner Surrender",E957,B957="Stray",E957+6,B957="Stray w/identification",E957+11,B957="Bite",E957+10,B957="Other",E957+30,B957="BAS",E957+56,B957="Seized",E957)</f>
        <v>45897</v>
      </c>
      <c r="G957" s="2">
        <v>45898</v>
      </c>
      <c r="H957" s="5">
        <f t="shared" si="53"/>
        <v>1</v>
      </c>
      <c r="I957" s="5">
        <f t="shared" si="54"/>
        <v>1</v>
      </c>
      <c r="J957" s="2" t="s">
        <v>31</v>
      </c>
      <c r="K957" s="2" t="s">
        <v>588</v>
      </c>
      <c r="M957" s="4" t="s">
        <v>633</v>
      </c>
      <c r="AD957" s="33" t="str">
        <f t="shared" si="55"/>
        <v>Friday</v>
      </c>
    </row>
    <row r="958" spans="1:30" x14ac:dyDescent="0.2">
      <c r="A958" s="3">
        <v>41690</v>
      </c>
      <c r="B958" s="2" t="s">
        <v>36</v>
      </c>
      <c r="C958" t="s">
        <v>474</v>
      </c>
      <c r="D958" t="s">
        <v>208</v>
      </c>
      <c r="E958" s="2">
        <v>45897</v>
      </c>
      <c r="F958" s="2" cm="1">
        <f t="array" ref="F958">_xlfn.IFS(B958="Owner Surrender",E958,B958="Stray",E958+6,B958="Stray w/identification",E958+11,B958="Bite",E958+10,B958="Other",E958+30,B958="BAS",E958+56,B958="Seized",E958)</f>
        <v>45897</v>
      </c>
      <c r="G958" s="2">
        <v>45898</v>
      </c>
      <c r="H958" s="5">
        <f t="shared" si="53"/>
        <v>1</v>
      </c>
      <c r="I958" s="5">
        <f t="shared" si="54"/>
        <v>1</v>
      </c>
      <c r="J958" s="2" t="s">
        <v>31</v>
      </c>
      <c r="K958" s="2" t="s">
        <v>588</v>
      </c>
      <c r="M958" s="4" t="s">
        <v>633</v>
      </c>
      <c r="AD958" s="33" t="str">
        <f t="shared" si="55"/>
        <v>Friday</v>
      </c>
    </row>
    <row r="959" spans="1:30" x14ac:dyDescent="0.2">
      <c r="A959" s="3">
        <v>41691</v>
      </c>
      <c r="B959" s="2" t="s">
        <v>38</v>
      </c>
      <c r="C959" t="s">
        <v>78</v>
      </c>
      <c r="D959" t="s">
        <v>209</v>
      </c>
      <c r="E959" s="2">
        <v>45897</v>
      </c>
      <c r="F959" s="2" cm="1">
        <f t="array" ref="F959">_xlfn.IFS(B959="Owner Surrender",E959,B959="Stray",E959+6,B959="Stray w/identification",E959+11,B959="Bite",E959+10,B959="Other",E959+30,B959="BAS",E959+56,B959="Seized",E959)</f>
        <v>45903</v>
      </c>
      <c r="G959" s="2">
        <v>45904</v>
      </c>
      <c r="H959" s="5">
        <f t="shared" si="53"/>
        <v>7</v>
      </c>
      <c r="I959" s="5">
        <f t="shared" si="54"/>
        <v>1</v>
      </c>
      <c r="J959" s="2" t="s">
        <v>11</v>
      </c>
      <c r="K959" s="2" t="s">
        <v>586</v>
      </c>
      <c r="AD959" s="33" t="str">
        <f t="shared" si="55"/>
        <v>Thursday</v>
      </c>
    </row>
    <row r="960" spans="1:30" x14ac:dyDescent="0.2">
      <c r="A960" s="3">
        <v>41692</v>
      </c>
      <c r="B960" s="2" t="s">
        <v>36</v>
      </c>
      <c r="C960" t="s">
        <v>474</v>
      </c>
      <c r="D960" t="s">
        <v>208</v>
      </c>
      <c r="E960" s="2">
        <v>45897</v>
      </c>
      <c r="F960" s="2" cm="1">
        <f t="array" ref="F960">_xlfn.IFS(B960="Owner Surrender",E960,B960="Stray",E960+6,B960="Stray w/identification",E960+11,B960="Bite",E960+10,B960="Other",E960+30,B960="BAS",E960+56,B960="Seized",E960)</f>
        <v>45897</v>
      </c>
      <c r="G960" s="2">
        <v>45898</v>
      </c>
      <c r="H960" s="5">
        <f t="shared" ref="H960:H1023" si="56">+G960-E960</f>
        <v>1</v>
      </c>
      <c r="I960" s="5">
        <f t="shared" ref="I960:I1023" si="57">G960-F960</f>
        <v>1</v>
      </c>
      <c r="J960" s="2" t="s">
        <v>31</v>
      </c>
      <c r="K960" s="2" t="s">
        <v>588</v>
      </c>
      <c r="M960" s="4" t="s">
        <v>633</v>
      </c>
      <c r="AD960" s="33" t="str">
        <f t="shared" si="55"/>
        <v>Friday</v>
      </c>
    </row>
    <row r="961" spans="1:30" x14ac:dyDescent="0.2">
      <c r="A961" s="3">
        <v>41697</v>
      </c>
      <c r="B961" s="2" t="s">
        <v>38</v>
      </c>
      <c r="C961" t="s">
        <v>78</v>
      </c>
      <c r="D961" t="s">
        <v>208</v>
      </c>
      <c r="E961" s="2">
        <v>45898</v>
      </c>
      <c r="F961" s="2" cm="1">
        <f t="array" ref="F961">_xlfn.IFS(B961="Owner Surrender",E961,B961="Stray",E961+6,B961="Stray w/identification",E961+11,B961="Bite",E961+10,B961="Other",E961+30,B961="BAS",E961+56,B961="Seized",E961)</f>
        <v>45904</v>
      </c>
      <c r="H961" s="5">
        <f t="shared" si="56"/>
        <v>-45898</v>
      </c>
      <c r="I961" s="5">
        <f t="shared" si="57"/>
        <v>-45904</v>
      </c>
      <c r="J961" s="2" t="s">
        <v>21</v>
      </c>
      <c r="K961" s="2" t="s">
        <v>586</v>
      </c>
      <c r="L961" t="s">
        <v>490</v>
      </c>
      <c r="AD961" s="33" t="str">
        <f t="shared" si="55"/>
        <v>Saturday</v>
      </c>
    </row>
    <row r="962" spans="1:30" x14ac:dyDescent="0.2">
      <c r="A962" s="3">
        <v>41698</v>
      </c>
      <c r="B962" s="2" t="s">
        <v>38</v>
      </c>
      <c r="C962" t="s">
        <v>48</v>
      </c>
      <c r="D962" t="s">
        <v>207</v>
      </c>
      <c r="E962" s="2">
        <v>45898</v>
      </c>
      <c r="F962" s="2" cm="1">
        <f t="array" ref="F962">_xlfn.IFS(B962="Owner Surrender",E962,B962="Stray",E962+6,B962="Stray w/identification",E962+11,B962="Bite",E962+10,B962="Other",E962+30,B962="BAS",E962+56,B962="Seized",E962)</f>
        <v>45904</v>
      </c>
      <c r="G962" s="2">
        <v>45909</v>
      </c>
      <c r="H962" s="5">
        <f t="shared" si="56"/>
        <v>11</v>
      </c>
      <c r="I962" s="5">
        <f t="shared" si="57"/>
        <v>5</v>
      </c>
      <c r="J962" s="2" t="s">
        <v>31</v>
      </c>
      <c r="K962" s="2" t="s">
        <v>587</v>
      </c>
      <c r="AD962" s="33" t="str">
        <f t="shared" si="55"/>
        <v>Tuesday</v>
      </c>
    </row>
    <row r="963" spans="1:30" x14ac:dyDescent="0.2">
      <c r="A963" s="3">
        <v>41699</v>
      </c>
      <c r="B963" s="2" t="s">
        <v>36</v>
      </c>
      <c r="C963" t="s">
        <v>148</v>
      </c>
      <c r="D963" t="s">
        <v>208</v>
      </c>
      <c r="E963" s="2">
        <v>45898</v>
      </c>
      <c r="F963" s="2" cm="1">
        <f t="array" ref="F963">_xlfn.IFS(B963="Owner Surrender",E963,B963="Stray",E963+6,B963="Stray w/identification",E963+11,B963="Bite",E963+10,B963="Other",E963+30,B963="BAS",E963+56,B963="Seized",E963)</f>
        <v>45898</v>
      </c>
      <c r="G963" s="2">
        <v>45903</v>
      </c>
      <c r="H963" s="5">
        <f t="shared" si="56"/>
        <v>5</v>
      </c>
      <c r="I963" s="5">
        <f t="shared" si="57"/>
        <v>5</v>
      </c>
      <c r="J963" s="2" t="s">
        <v>31</v>
      </c>
      <c r="K963" s="2" t="s">
        <v>587</v>
      </c>
      <c r="AD963" s="33" t="str">
        <f t="shared" si="55"/>
        <v>Wednesday</v>
      </c>
    </row>
    <row r="964" spans="1:30" x14ac:dyDescent="0.2">
      <c r="A964" s="3">
        <v>41700</v>
      </c>
      <c r="B964" s="2" t="s">
        <v>36</v>
      </c>
      <c r="C964" t="s">
        <v>148</v>
      </c>
      <c r="D964" t="s">
        <v>208</v>
      </c>
      <c r="E964" s="2">
        <v>45898</v>
      </c>
      <c r="F964" s="2" cm="1">
        <f t="array" ref="F964">_xlfn.IFS(B964="Owner Surrender",E964,B964="Stray",E964+6,B964="Stray w/identification",E964+11,B964="Bite",E964+10,B964="Other",E964+30,B964="BAS",E964+56,B964="Seized",E964)</f>
        <v>45898</v>
      </c>
      <c r="G964" s="2">
        <v>45903</v>
      </c>
      <c r="H964" s="5">
        <f t="shared" si="56"/>
        <v>5</v>
      </c>
      <c r="I964" s="5">
        <f t="shared" si="57"/>
        <v>5</v>
      </c>
      <c r="J964" s="2" t="s">
        <v>31</v>
      </c>
      <c r="K964" s="2" t="s">
        <v>587</v>
      </c>
      <c r="AD964" s="33" t="str">
        <f t="shared" ref="AD964:AD989" si="58">TEXT(G964,"DDDD")</f>
        <v>Wednesday</v>
      </c>
    </row>
    <row r="965" spans="1:30" x14ac:dyDescent="0.2">
      <c r="A965" s="3">
        <v>41701</v>
      </c>
      <c r="B965" s="2" t="s">
        <v>36</v>
      </c>
      <c r="C965" t="s">
        <v>148</v>
      </c>
      <c r="D965" t="s">
        <v>208</v>
      </c>
      <c r="E965" s="2">
        <v>45898</v>
      </c>
      <c r="F965" s="2" cm="1">
        <f t="array" ref="F965">_xlfn.IFS(B965="Owner Surrender",E965,B965="Stray",E965+6,B965="Stray w/identification",E965+11,B965="Bite",E965+10,B965="Other",E965+30,B965="BAS",E965+56,B965="Seized",E965)</f>
        <v>45898</v>
      </c>
      <c r="G965" s="2">
        <v>45903</v>
      </c>
      <c r="H965" s="5">
        <f t="shared" si="56"/>
        <v>5</v>
      </c>
      <c r="I965" s="5">
        <f t="shared" si="57"/>
        <v>5</v>
      </c>
      <c r="J965" s="2" t="s">
        <v>31</v>
      </c>
      <c r="K965" s="2" t="s">
        <v>587</v>
      </c>
      <c r="AD965" s="33" t="str">
        <f t="shared" si="58"/>
        <v>Wednesday</v>
      </c>
    </row>
    <row r="966" spans="1:30" x14ac:dyDescent="0.2">
      <c r="A966" s="3">
        <v>41702</v>
      </c>
      <c r="B966" s="2" t="s">
        <v>36</v>
      </c>
      <c r="C966" t="s">
        <v>148</v>
      </c>
      <c r="D966" t="s">
        <v>208</v>
      </c>
      <c r="E966" s="2">
        <v>45898</v>
      </c>
      <c r="F966" s="2" cm="1">
        <f t="array" ref="F966">_xlfn.IFS(B966="Owner Surrender",E966,B966="Stray",E966+6,B966="Stray w/identification",E966+11,B966="Bite",E966+10,B966="Other",E966+30,B966="BAS",E966+56,B966="Seized",E966)</f>
        <v>45898</v>
      </c>
      <c r="G966" s="2">
        <v>45903</v>
      </c>
      <c r="H966" s="5">
        <f t="shared" si="56"/>
        <v>5</v>
      </c>
      <c r="I966" s="5">
        <f t="shared" si="57"/>
        <v>5</v>
      </c>
      <c r="J966" s="2" t="s">
        <v>31</v>
      </c>
      <c r="K966" s="2" t="s">
        <v>587</v>
      </c>
      <c r="AD966" s="33" t="str">
        <f t="shared" si="58"/>
        <v>Wednesday</v>
      </c>
    </row>
    <row r="967" spans="1:30" x14ac:dyDescent="0.2">
      <c r="A967" s="3">
        <v>41703</v>
      </c>
      <c r="B967" s="2" t="s">
        <v>36</v>
      </c>
      <c r="C967" t="s">
        <v>148</v>
      </c>
      <c r="D967" t="s">
        <v>208</v>
      </c>
      <c r="E967" s="2">
        <v>45898</v>
      </c>
      <c r="F967" s="2" cm="1">
        <f t="array" ref="F967">_xlfn.IFS(B967="Owner Surrender",E967,B967="Stray",E967+6,B967="Stray w/identification",E967+11,B967="Bite",E967+10,B967="Other",E967+30,B967="BAS",E967+56,B967="Seized",E967)</f>
        <v>45898</v>
      </c>
      <c r="G967" s="2">
        <v>45903</v>
      </c>
      <c r="H967" s="5">
        <f t="shared" si="56"/>
        <v>5</v>
      </c>
      <c r="I967" s="5">
        <f t="shared" si="57"/>
        <v>5</v>
      </c>
      <c r="J967" s="2" t="s">
        <v>31</v>
      </c>
      <c r="K967" s="2" t="s">
        <v>587</v>
      </c>
      <c r="AD967" s="33" t="str">
        <f t="shared" si="58"/>
        <v>Wednesday</v>
      </c>
    </row>
    <row r="968" spans="1:30" x14ac:dyDescent="0.2">
      <c r="A968" s="3">
        <v>41704</v>
      </c>
      <c r="B968" s="2" t="s">
        <v>38</v>
      </c>
      <c r="C968" t="s">
        <v>522</v>
      </c>
      <c r="D968" t="s">
        <v>207</v>
      </c>
      <c r="E968" s="2">
        <v>45898</v>
      </c>
      <c r="F968" s="2" cm="1">
        <f t="array" ref="F968">_xlfn.IFS(B968="Owner Surrender",E968,B968="Stray",E968+6,B968="Stray w/identification",E968+11,B968="Bite",E968+10,B968="Other",E968+30,B968="BAS",E968+56,B968="Seized",E968)</f>
        <v>45904</v>
      </c>
      <c r="G968" s="2">
        <v>45905</v>
      </c>
      <c r="H968" s="5">
        <f t="shared" si="56"/>
        <v>7</v>
      </c>
      <c r="I968" s="5">
        <f t="shared" si="57"/>
        <v>1</v>
      </c>
      <c r="J968" s="2" t="s">
        <v>8</v>
      </c>
      <c r="AD968" s="33" t="str">
        <f t="shared" si="58"/>
        <v>Friday</v>
      </c>
    </row>
    <row r="969" spans="1:30" x14ac:dyDescent="0.2">
      <c r="A969" s="3">
        <v>41708</v>
      </c>
      <c r="B969" s="2" t="s">
        <v>36</v>
      </c>
      <c r="C969" t="s">
        <v>634</v>
      </c>
      <c r="D969" t="s">
        <v>207</v>
      </c>
      <c r="E969" s="2">
        <v>45899</v>
      </c>
      <c r="F969" s="2" cm="1">
        <f t="array" ref="F969">_xlfn.IFS(B969="Owner Surrender",E969,B969="Stray",E969+6,B969="Stray w/identification",E969+11,B969="Bite",E969+10,B969="Other",E969+30,B969="BAS",E969+56,B969="Seized",E969)</f>
        <v>45899</v>
      </c>
      <c r="G969" s="2">
        <v>45905</v>
      </c>
      <c r="H969" s="5">
        <f t="shared" si="56"/>
        <v>6</v>
      </c>
      <c r="I969" s="5">
        <f t="shared" si="57"/>
        <v>6</v>
      </c>
      <c r="J969" s="2" t="s">
        <v>11</v>
      </c>
      <c r="AD969" s="33" t="str">
        <f t="shared" si="58"/>
        <v>Friday</v>
      </c>
    </row>
    <row r="970" spans="1:30" x14ac:dyDescent="0.2">
      <c r="A970" s="3">
        <v>41709</v>
      </c>
      <c r="B970" s="2" t="s">
        <v>36</v>
      </c>
      <c r="C970" t="s">
        <v>48</v>
      </c>
      <c r="D970" t="s">
        <v>207</v>
      </c>
      <c r="E970" s="2">
        <v>45899</v>
      </c>
      <c r="F970" s="2" cm="1">
        <f t="array" ref="F970">_xlfn.IFS(B970="Owner Surrender",E970,B970="Stray",E970+6,B970="Stray w/identification",E970+11,B970="Bite",E970+10,B970="Other",E970+30,B970="BAS",E970+56,B970="Seized",E970)</f>
        <v>45899</v>
      </c>
      <c r="G970" s="2">
        <v>45911</v>
      </c>
      <c r="H970" s="5">
        <f t="shared" si="56"/>
        <v>12</v>
      </c>
      <c r="I970" s="5">
        <f t="shared" si="57"/>
        <v>12</v>
      </c>
      <c r="J970" s="2" t="s">
        <v>31</v>
      </c>
      <c r="K970" s="2" t="s">
        <v>594</v>
      </c>
      <c r="M970" t="s">
        <v>635</v>
      </c>
      <c r="AD970" s="33" t="str">
        <f t="shared" si="58"/>
        <v>Thursday</v>
      </c>
    </row>
    <row r="971" spans="1:30" x14ac:dyDescent="0.2">
      <c r="A971" s="3">
        <v>41711</v>
      </c>
      <c r="B971" s="2" t="s">
        <v>179</v>
      </c>
      <c r="C971" t="s">
        <v>49</v>
      </c>
      <c r="D971" t="s">
        <v>207</v>
      </c>
      <c r="E971" s="2">
        <v>45899</v>
      </c>
      <c r="F971" s="2" cm="1">
        <f t="array" ref="F971">_xlfn.IFS(B971="Owner Surrender",E971,B971="Stray",E971+6,B971="Stray w/identification",E971+11,B971="Bite",E971+10,B971="Other",E971+30,B971="BAS",E971+56,B971="Seized",E971)</f>
        <v>45910</v>
      </c>
      <c r="G971" s="2">
        <v>45915</v>
      </c>
      <c r="H971" s="5">
        <f t="shared" si="56"/>
        <v>16</v>
      </c>
      <c r="I971" s="5">
        <f t="shared" si="57"/>
        <v>5</v>
      </c>
      <c r="J971" s="2" t="s">
        <v>18</v>
      </c>
      <c r="K971" s="2" t="s">
        <v>586</v>
      </c>
      <c r="M971" t="s">
        <v>19</v>
      </c>
      <c r="AD971" s="33" t="str">
        <f t="shared" si="58"/>
        <v>Monday</v>
      </c>
    </row>
    <row r="972" spans="1:30" x14ac:dyDescent="0.2">
      <c r="A972" s="3">
        <v>41716</v>
      </c>
      <c r="B972" s="2" t="s">
        <v>36</v>
      </c>
      <c r="C972" t="s">
        <v>108</v>
      </c>
      <c r="D972" t="s">
        <v>210</v>
      </c>
      <c r="E972" s="2">
        <v>45900</v>
      </c>
      <c r="F972" s="2" cm="1">
        <f t="array" ref="F972">_xlfn.IFS(B972="Owner Surrender",E972,B972="Stray",E972+6,B972="Stray w/identification",E972+11,B972="Bite",E972+10,B972="Other",E972+30,B972="BAS",E972+56,B972="Seized",E972)</f>
        <v>45900</v>
      </c>
      <c r="G972" s="2">
        <v>45900</v>
      </c>
      <c r="H972" s="5">
        <f t="shared" si="56"/>
        <v>0</v>
      </c>
      <c r="I972" s="5">
        <f t="shared" si="57"/>
        <v>0</v>
      </c>
      <c r="J972" s="2" t="s">
        <v>31</v>
      </c>
      <c r="K972" s="2" t="s">
        <v>589</v>
      </c>
      <c r="AD972" s="33" t="str">
        <f t="shared" si="58"/>
        <v>Sunday</v>
      </c>
    </row>
    <row r="973" spans="1:30" x14ac:dyDescent="0.2">
      <c r="A973" s="30">
        <v>41766</v>
      </c>
      <c r="B973" s="2" t="s">
        <v>179</v>
      </c>
      <c r="C973" t="s">
        <v>657</v>
      </c>
      <c r="D973" t="s">
        <v>209</v>
      </c>
      <c r="E973" s="2">
        <v>45906</v>
      </c>
      <c r="F973" s="2" cm="1">
        <f t="array" ref="F973">_xlfn.IFS(B973="Owner Surrender",E973,B973="Stray",E973+6,B973="Stray w/identification",E973+11,B973="Bite",E973+10,B973="Other",E973+30,B973="BAS",E973+56,B973="Seized",E973)</f>
        <v>45917</v>
      </c>
      <c r="G973" s="2">
        <v>45908</v>
      </c>
      <c r="H973" s="5">
        <f t="shared" si="56"/>
        <v>2</v>
      </c>
      <c r="I973" s="5">
        <f t="shared" si="57"/>
        <v>-9</v>
      </c>
      <c r="J973" s="2" t="s">
        <v>8</v>
      </c>
      <c r="L973" t="s">
        <v>503</v>
      </c>
      <c r="AD973" s="33" t="str">
        <f t="shared" si="58"/>
        <v>Monday</v>
      </c>
    </row>
    <row r="974" spans="1:30" x14ac:dyDescent="0.2">
      <c r="A974" s="30">
        <v>41744</v>
      </c>
      <c r="B974" s="2" t="s">
        <v>179</v>
      </c>
      <c r="C974" t="s">
        <v>148</v>
      </c>
      <c r="D974" t="s">
        <v>207</v>
      </c>
      <c r="E974" s="2">
        <v>45903</v>
      </c>
      <c r="F974" s="2" cm="1">
        <f t="array" ref="F974">_xlfn.IFS(B974="Owner Surrender",E974,B974="Stray",E974+6,B974="Stray w/identification",E974+11,B974="Bite",E974+10,B974="Other",E974+30,B974="BAS",E974+56,B974="Seized",E974)</f>
        <v>45914</v>
      </c>
      <c r="G974" s="2">
        <v>45905</v>
      </c>
      <c r="H974" s="5">
        <f t="shared" si="56"/>
        <v>2</v>
      </c>
      <c r="I974" s="5">
        <f t="shared" si="57"/>
        <v>-9</v>
      </c>
      <c r="J974" s="2" t="s">
        <v>8</v>
      </c>
      <c r="AD974" s="33" t="str">
        <f t="shared" si="58"/>
        <v>Friday</v>
      </c>
    </row>
    <row r="975" spans="1:30" x14ac:dyDescent="0.2">
      <c r="A975" s="30">
        <v>41845</v>
      </c>
      <c r="B975" s="2" t="s">
        <v>38</v>
      </c>
      <c r="C975" t="s">
        <v>78</v>
      </c>
      <c r="D975" t="s">
        <v>207</v>
      </c>
      <c r="E975" s="2">
        <v>45915</v>
      </c>
      <c r="F975" s="2" cm="1">
        <f t="array" ref="F975">_xlfn.IFS(B975="Owner Surrender",E975,B975="Stray",E975+6,B975="Stray w/identification",E975+11,B975="Bite",E975+10,B975="Other",E975+30,B975="BAS",E975+56,B975="Seized",E975)</f>
        <v>45921</v>
      </c>
      <c r="G975" s="2">
        <v>45917</v>
      </c>
      <c r="H975" s="5">
        <f t="shared" si="56"/>
        <v>2</v>
      </c>
      <c r="I975" s="5">
        <f t="shared" si="57"/>
        <v>-4</v>
      </c>
      <c r="J975" s="2" t="s">
        <v>8</v>
      </c>
      <c r="AD975" s="33" t="str">
        <f t="shared" si="58"/>
        <v>Wednesday</v>
      </c>
    </row>
    <row r="976" spans="1:30" x14ac:dyDescent="0.2">
      <c r="A976" s="30">
        <v>41851</v>
      </c>
      <c r="B976" s="2" t="s">
        <v>38</v>
      </c>
      <c r="C976" t="s">
        <v>89</v>
      </c>
      <c r="D976" t="s">
        <v>207</v>
      </c>
      <c r="E976" s="2">
        <v>45916</v>
      </c>
      <c r="F976" s="2" cm="1">
        <f t="array" ref="F976">_xlfn.IFS(B976="Owner Surrender",E976,B976="Stray",E976+6,B976="Stray w/identification",E976+11,B976="Bite",E976+10,B976="Other",E976+30,B976="BAS",E976+56,B976="Seized",E976)</f>
        <v>45922</v>
      </c>
      <c r="G976" s="2">
        <v>45919</v>
      </c>
      <c r="H976" s="5">
        <f t="shared" si="56"/>
        <v>3</v>
      </c>
      <c r="I976" s="5">
        <f t="shared" si="57"/>
        <v>-3</v>
      </c>
      <c r="J976" s="2" t="s">
        <v>8</v>
      </c>
      <c r="AD976" s="33" t="str">
        <f t="shared" si="58"/>
        <v>Friday</v>
      </c>
    </row>
    <row r="977" spans="1:30" x14ac:dyDescent="0.2">
      <c r="A977" s="30">
        <v>41852</v>
      </c>
      <c r="B977" s="2" t="s">
        <v>38</v>
      </c>
      <c r="C977" t="s">
        <v>148</v>
      </c>
      <c r="D977" t="s">
        <v>207</v>
      </c>
      <c r="E977" s="2">
        <v>45916</v>
      </c>
      <c r="F977" s="2" cm="1">
        <f t="array" ref="F977">_xlfn.IFS(B977="Owner Surrender",E977,B977="Stray",E977+6,B977="Stray w/identification",E977+11,B977="Bite",E977+10,B977="Other",E977+30,B977="BAS",E977+56,B977="Seized",E977)</f>
        <v>45922</v>
      </c>
      <c r="G977" s="2">
        <v>45919</v>
      </c>
      <c r="H977" s="5">
        <f t="shared" si="56"/>
        <v>3</v>
      </c>
      <c r="I977" s="5">
        <f t="shared" si="57"/>
        <v>-3</v>
      </c>
      <c r="J977" s="2" t="s">
        <v>8</v>
      </c>
      <c r="AD977" s="33" t="str">
        <f t="shared" si="58"/>
        <v>Friday</v>
      </c>
    </row>
    <row r="978" spans="1:30" x14ac:dyDescent="0.2">
      <c r="A978" s="30">
        <v>41728</v>
      </c>
      <c r="B978" s="2" t="s">
        <v>179</v>
      </c>
      <c r="C978" t="s">
        <v>48</v>
      </c>
      <c r="D978" t="s">
        <v>207</v>
      </c>
      <c r="E978" s="2">
        <v>45903</v>
      </c>
      <c r="F978" s="2" cm="1">
        <f t="array" ref="F978">_xlfn.IFS(B978="Owner Surrender",E978,B978="Stray",E978+6,B978="Stray w/identification",E978+11,B978="Bite",E978+10,B978="Other",E978+30,B978="BAS",E978+56,B978="Seized",E978)</f>
        <v>45914</v>
      </c>
      <c r="G978" s="2">
        <v>45903</v>
      </c>
      <c r="H978" s="5">
        <f t="shared" si="56"/>
        <v>0</v>
      </c>
      <c r="I978" s="5">
        <f t="shared" si="57"/>
        <v>-11</v>
      </c>
      <c r="J978" s="2" t="s">
        <v>8</v>
      </c>
      <c r="AD978" s="33" t="str">
        <f t="shared" si="58"/>
        <v>Wednesday</v>
      </c>
    </row>
    <row r="979" spans="1:30" x14ac:dyDescent="0.2">
      <c r="A979" s="30">
        <v>41893</v>
      </c>
      <c r="B979" s="2" t="s">
        <v>179</v>
      </c>
      <c r="C979" t="s">
        <v>89</v>
      </c>
      <c r="D979" t="s">
        <v>207</v>
      </c>
      <c r="E979" s="2">
        <v>45922</v>
      </c>
      <c r="F979" s="2" cm="1">
        <f t="array" ref="F979">_xlfn.IFS(B979="Owner Surrender",E979,B979="Stray",E979+6,B979="Stray w/identification",E979+11,B979="Bite",E979+10,B979="Other",E979+30,B979="BAS",E979+56,B979="Seized",E979)</f>
        <v>45933</v>
      </c>
      <c r="G979" s="2">
        <v>45923</v>
      </c>
      <c r="H979" s="5">
        <f t="shared" si="56"/>
        <v>1</v>
      </c>
      <c r="I979" s="5">
        <f t="shared" si="57"/>
        <v>-10</v>
      </c>
      <c r="J979" s="2" t="s">
        <v>8</v>
      </c>
      <c r="AD979" s="33" t="str">
        <f t="shared" si="58"/>
        <v>Tuesday</v>
      </c>
    </row>
    <row r="980" spans="1:30" x14ac:dyDescent="0.2">
      <c r="A980" s="30">
        <v>41820</v>
      </c>
      <c r="B980" s="2" t="s">
        <v>38</v>
      </c>
      <c r="C980" t="s">
        <v>436</v>
      </c>
      <c r="D980" t="s">
        <v>207</v>
      </c>
      <c r="E980" s="2">
        <v>45912</v>
      </c>
      <c r="F980" s="2" cm="1">
        <f t="array" ref="F980">_xlfn.IFS(B980="Owner Surrender",E980,B980="Stray",E980+6,B980="Stray w/identification",E980+11,B980="Bite",E980+10,B980="Other",E980+30,B980="BAS",E980+56,B980="Seized",E980)</f>
        <v>45918</v>
      </c>
      <c r="G980" s="2">
        <v>45931</v>
      </c>
      <c r="H980" s="5">
        <f t="shared" si="56"/>
        <v>19</v>
      </c>
      <c r="I980" s="5">
        <f t="shared" si="57"/>
        <v>13</v>
      </c>
      <c r="J980" s="2" t="s">
        <v>31</v>
      </c>
      <c r="K980" t="s">
        <v>588</v>
      </c>
      <c r="M980" t="s">
        <v>658</v>
      </c>
      <c r="AD980" s="33" t="str">
        <f t="shared" si="58"/>
        <v>Wednesday</v>
      </c>
    </row>
    <row r="981" spans="1:30" x14ac:dyDescent="0.2">
      <c r="A981" s="30">
        <v>41846</v>
      </c>
      <c r="B981" s="2" t="s">
        <v>36</v>
      </c>
      <c r="C981" t="s">
        <v>659</v>
      </c>
      <c r="D981" t="s">
        <v>207</v>
      </c>
      <c r="E981" s="2">
        <v>45916</v>
      </c>
      <c r="F981" s="2" cm="1">
        <f t="array" ref="F981">_xlfn.IFS(B981="Owner Surrender",E981,B981="Stray",E981+6,B981="Stray w/identification",E981+11,B981="Bite",E981+10,B981="Other",E981+30,B981="BAS",E981+56,B981="Seized",E981)</f>
        <v>45916</v>
      </c>
      <c r="G981" s="2">
        <v>45922</v>
      </c>
      <c r="H981" s="5">
        <f t="shared" si="56"/>
        <v>6</v>
      </c>
      <c r="I981" s="5">
        <f t="shared" si="57"/>
        <v>6</v>
      </c>
      <c r="J981" s="2" t="s">
        <v>31</v>
      </c>
      <c r="K981" t="s">
        <v>587</v>
      </c>
      <c r="M981" t="s">
        <v>660</v>
      </c>
      <c r="AD981" s="33" t="str">
        <f t="shared" si="58"/>
        <v>Monday</v>
      </c>
    </row>
    <row r="982" spans="1:30" x14ac:dyDescent="0.2">
      <c r="A982" s="30">
        <v>41812</v>
      </c>
      <c r="B982" s="2" t="s">
        <v>38</v>
      </c>
      <c r="C982" t="s">
        <v>49</v>
      </c>
      <c r="D982" t="s">
        <v>207</v>
      </c>
      <c r="E982" s="2">
        <v>45911</v>
      </c>
      <c r="F982" s="2" cm="1">
        <f t="array" ref="F982">_xlfn.IFS(B982="Owner Surrender",E982,B982="Stray",E982+6,B982="Stray w/identification",E982+11,B982="Bite",E982+10,B982="Other",E982+30,B982="BAS",E982+56,B982="Seized",E982)</f>
        <v>45917</v>
      </c>
      <c r="G982" s="2">
        <v>45917</v>
      </c>
      <c r="H982" s="5">
        <f t="shared" si="56"/>
        <v>6</v>
      </c>
      <c r="I982" s="5">
        <f t="shared" si="57"/>
        <v>0</v>
      </c>
      <c r="J982" s="2" t="s">
        <v>31</v>
      </c>
      <c r="K982" t="s">
        <v>587</v>
      </c>
      <c r="M982" t="s">
        <v>661</v>
      </c>
      <c r="AD982" s="33" t="str">
        <f t="shared" si="58"/>
        <v>Wednesday</v>
      </c>
    </row>
    <row r="983" spans="1:30" x14ac:dyDescent="0.2">
      <c r="A983" s="30">
        <v>41814</v>
      </c>
      <c r="B983" s="2" t="s">
        <v>36</v>
      </c>
      <c r="C983" t="s">
        <v>662</v>
      </c>
      <c r="D983" t="s">
        <v>207</v>
      </c>
      <c r="E983" s="2">
        <v>45910</v>
      </c>
      <c r="F983" s="2" cm="1">
        <f t="array" ref="F983">_xlfn.IFS(B983="Owner Surrender",E983,B983="Stray",E983+6,B983="Stray w/identification",E983+11,B983="Bite",E983+10,B983="Other",E983+30,B983="BAS",E983+56,B983="Seized",E983)</f>
        <v>45910</v>
      </c>
      <c r="G983" s="2">
        <v>45916</v>
      </c>
      <c r="H983" s="5">
        <f t="shared" si="56"/>
        <v>6</v>
      </c>
      <c r="I983" s="5">
        <f t="shared" si="57"/>
        <v>6</v>
      </c>
      <c r="J983" s="2" t="s">
        <v>31</v>
      </c>
      <c r="K983" t="s">
        <v>587</v>
      </c>
      <c r="L983" t="s">
        <v>663</v>
      </c>
      <c r="M983" t="s">
        <v>664</v>
      </c>
      <c r="AD983" s="33" t="str">
        <f t="shared" si="58"/>
        <v>Tuesday</v>
      </c>
    </row>
    <row r="984" spans="1:30" x14ac:dyDescent="0.2">
      <c r="A984" s="30">
        <v>41804</v>
      </c>
      <c r="B984" s="2" t="s">
        <v>36</v>
      </c>
      <c r="C984" t="s">
        <v>665</v>
      </c>
      <c r="D984" t="s">
        <v>210</v>
      </c>
      <c r="E984" s="2">
        <v>45910</v>
      </c>
      <c r="F984" s="2" cm="1">
        <f t="array" ref="F984">_xlfn.IFS(B984="Owner Surrender",E984,B984="Stray",E984+6,B984="Stray w/identification",E984+11,B984="Bite",E984+10,B984="Other",E984+30,B984="BAS",E984+56,B984="Seized",E984)</f>
        <v>45910</v>
      </c>
      <c r="G984" s="2">
        <v>45921</v>
      </c>
      <c r="H984" s="5">
        <f t="shared" si="56"/>
        <v>11</v>
      </c>
      <c r="I984" s="5">
        <f t="shared" si="57"/>
        <v>11</v>
      </c>
      <c r="J984" s="2" t="s">
        <v>31</v>
      </c>
      <c r="K984" t="s">
        <v>587</v>
      </c>
      <c r="AD984" s="33" t="str">
        <f t="shared" si="58"/>
        <v>Sunday</v>
      </c>
    </row>
    <row r="985" spans="1:30" x14ac:dyDescent="0.2">
      <c r="A985" s="30">
        <v>41837</v>
      </c>
      <c r="B985" s="2" t="s">
        <v>36</v>
      </c>
      <c r="C985" t="s">
        <v>55</v>
      </c>
      <c r="D985" t="s">
        <v>207</v>
      </c>
      <c r="E985" s="2">
        <v>45915</v>
      </c>
      <c r="F985" s="2" cm="1">
        <f t="array" ref="F985">_xlfn.IFS(B985="Owner Surrender",E985,B985="Stray",E985+6,B985="Stray w/identification",E985+11,B985="Bite",E985+10,B985="Other",E985+30,B985="BAS",E985+56,B985="Seized",E985)</f>
        <v>45915</v>
      </c>
      <c r="G985" s="2">
        <v>45922</v>
      </c>
      <c r="H985" s="5">
        <f t="shared" si="56"/>
        <v>7</v>
      </c>
      <c r="I985" s="5">
        <f t="shared" si="57"/>
        <v>7</v>
      </c>
      <c r="J985" s="2" t="s">
        <v>31</v>
      </c>
      <c r="K985" t="s">
        <v>587</v>
      </c>
      <c r="AD985" s="33" t="str">
        <f t="shared" si="58"/>
        <v>Monday</v>
      </c>
    </row>
    <row r="986" spans="1:30" x14ac:dyDescent="0.2">
      <c r="A986" s="30">
        <v>41934</v>
      </c>
      <c r="B986" s="2" t="s">
        <v>38</v>
      </c>
      <c r="C986" t="s">
        <v>621</v>
      </c>
      <c r="D986" t="s">
        <v>208</v>
      </c>
      <c r="E986" s="2">
        <v>45927</v>
      </c>
      <c r="F986" s="2" cm="1">
        <f t="array" ref="F986">_xlfn.IFS(B986="Owner Surrender",E986,B986="Stray",E986+6,B986="Stray w/identification",E986+11,B986="Bite",E986+10,B986="Other",E986+30,B986="BAS",E986+56,B986="Seized",E986)</f>
        <v>45933</v>
      </c>
      <c r="G986" s="2">
        <v>45932</v>
      </c>
      <c r="H986" s="5">
        <f t="shared" si="56"/>
        <v>5</v>
      </c>
      <c r="I986" s="5">
        <f t="shared" si="57"/>
        <v>-1</v>
      </c>
      <c r="J986" s="2" t="s">
        <v>31</v>
      </c>
      <c r="K986" t="s">
        <v>588</v>
      </c>
      <c r="M986" t="s">
        <v>66</v>
      </c>
      <c r="AD986" s="33" t="str">
        <f t="shared" si="58"/>
        <v>Thursday</v>
      </c>
    </row>
    <row r="987" spans="1:30" x14ac:dyDescent="0.2">
      <c r="A987" s="30">
        <v>41920</v>
      </c>
      <c r="B987" s="2" t="s">
        <v>36</v>
      </c>
      <c r="C987" t="s">
        <v>48</v>
      </c>
      <c r="D987" t="s">
        <v>207</v>
      </c>
      <c r="E987" s="2">
        <v>45925</v>
      </c>
      <c r="F987" s="2" cm="1">
        <f t="array" ref="F987">_xlfn.IFS(B987="Owner Surrender",E987,B987="Stray",E987+6,B987="Stray w/identification",E987+11,B987="Bite",E987+10,B987="Other",E987+30,B987="BAS",E987+56,B987="Seized",E987)</f>
        <v>45925</v>
      </c>
      <c r="G987" s="2">
        <v>45930</v>
      </c>
      <c r="H987" s="5">
        <f t="shared" si="56"/>
        <v>5</v>
      </c>
      <c r="I987" s="5">
        <f t="shared" si="57"/>
        <v>5</v>
      </c>
      <c r="J987" s="2" t="s">
        <v>31</v>
      </c>
      <c r="K987" t="s">
        <v>587</v>
      </c>
      <c r="L987" t="s">
        <v>440</v>
      </c>
      <c r="M987" t="s">
        <v>666</v>
      </c>
      <c r="AD987" s="33" t="str">
        <f t="shared" si="58"/>
        <v>Tuesday</v>
      </c>
    </row>
    <row r="988" spans="1:30" x14ac:dyDescent="0.2">
      <c r="A988" s="30">
        <v>41919</v>
      </c>
      <c r="B988" s="2" t="s">
        <v>36</v>
      </c>
      <c r="C988" t="s">
        <v>48</v>
      </c>
      <c r="D988" t="s">
        <v>207</v>
      </c>
      <c r="E988" s="2">
        <v>45925</v>
      </c>
      <c r="F988" s="2" cm="1">
        <f t="array" ref="F988">_xlfn.IFS(B988="Owner Surrender",E988,B988="Stray",E988+6,B988="Stray w/identification",E988+11,B988="Bite",E988+10,B988="Other",E988+30,B988="BAS",E988+56,B988="Seized",E988)</f>
        <v>45925</v>
      </c>
      <c r="G988" s="2">
        <v>45930</v>
      </c>
      <c r="H988" s="5">
        <f t="shared" si="56"/>
        <v>5</v>
      </c>
      <c r="I988" s="5">
        <f t="shared" si="57"/>
        <v>5</v>
      </c>
      <c r="J988" s="2" t="s">
        <v>31</v>
      </c>
      <c r="K988" t="s">
        <v>587</v>
      </c>
      <c r="L988" t="s">
        <v>667</v>
      </c>
      <c r="M988" t="s">
        <v>668</v>
      </c>
      <c r="AD988" s="33" t="str">
        <f t="shared" si="58"/>
        <v>Tuesday</v>
      </c>
    </row>
    <row r="989" spans="1:30" x14ac:dyDescent="0.2">
      <c r="A989" s="30">
        <v>41917</v>
      </c>
      <c r="B989" s="2" t="s">
        <v>38</v>
      </c>
      <c r="C989" t="s">
        <v>75</v>
      </c>
      <c r="D989" t="s">
        <v>207</v>
      </c>
      <c r="E989" s="2">
        <v>45924</v>
      </c>
      <c r="F989" s="2" cm="1">
        <f t="array" ref="F989">_xlfn.IFS(B989="Owner Surrender",E989,B989="Stray",E989+6,B989="Stray w/identification",E989+11,B989="Bite",E989+10,B989="Other",E989+30,B989="BAS",E989+56,B989="Seized",E989)</f>
        <v>45930</v>
      </c>
      <c r="G989" s="2">
        <v>45925</v>
      </c>
      <c r="H989" s="5">
        <f t="shared" si="56"/>
        <v>1</v>
      </c>
      <c r="I989" s="5">
        <f t="shared" si="57"/>
        <v>-5</v>
      </c>
      <c r="J989" s="2" t="s">
        <v>31</v>
      </c>
      <c r="K989" t="s">
        <v>588</v>
      </c>
      <c r="M989" t="s">
        <v>669</v>
      </c>
      <c r="AD989" s="33" t="str">
        <f t="shared" si="58"/>
        <v>Thursday</v>
      </c>
    </row>
    <row r="990" spans="1:30" x14ac:dyDescent="0.2">
      <c r="A990" s="30"/>
      <c r="F990" s="2" t="e" cm="1">
        <f t="array" ref="F990">_xlfn.IFS(B990="Owner Surrender",E990,B990="Stray",E990+6,B990="Stray w/identification",E990+11,B990="Bite",E990+10,B990="Other",E990+30,B990="BAS",E990+56,B990="Seized",E990)</f>
        <v>#N/A</v>
      </c>
      <c r="H990" s="5">
        <f t="shared" si="56"/>
        <v>0</v>
      </c>
      <c r="I990" s="5" t="e">
        <f t="shared" si="57"/>
        <v>#N/A</v>
      </c>
    </row>
    <row r="991" spans="1:30" x14ac:dyDescent="0.2">
      <c r="A991" s="30"/>
      <c r="F991" s="2" t="e" cm="1">
        <f t="array" ref="F991">_xlfn.IFS(B991="Owner Surrender",E991,B991="Stray",E991+6,B991="Stray w/identification",E991+11,B991="Bite",E991+10,B991="Other",E991+30,B991="BAS",E991+56,B991="Seized",E991)</f>
        <v>#N/A</v>
      </c>
      <c r="H991" s="5">
        <f t="shared" si="56"/>
        <v>0</v>
      </c>
      <c r="I991" s="5" t="e">
        <f t="shared" si="57"/>
        <v>#N/A</v>
      </c>
    </row>
    <row r="992" spans="1:30" x14ac:dyDescent="0.2">
      <c r="A992" s="30"/>
      <c r="F992" s="2" t="e" cm="1">
        <f t="array" ref="F992">_xlfn.IFS(B992="Owner Surrender",E992,B992="Stray",E992+6,B992="Stray w/identification",E992+11,B992="Bite",E992+10,B992="Other",E992+30,B992="BAS",E992+56,B992="Seized",E992)</f>
        <v>#N/A</v>
      </c>
      <c r="H992" s="5">
        <f t="shared" si="56"/>
        <v>0</v>
      </c>
      <c r="I992" s="5" t="e">
        <f t="shared" si="57"/>
        <v>#N/A</v>
      </c>
    </row>
    <row r="993" spans="1:9" x14ac:dyDescent="0.2">
      <c r="A993" s="30"/>
      <c r="F993" s="2" t="e" cm="1">
        <f t="array" ref="F993">_xlfn.IFS(B993="Owner Surrender",E993,B993="Stray",E993+6,B993="Stray w/identification",E993+11,B993="Bite",E993+10,B993="Other",E993+30,B993="BAS",E993+56,B993="Seized",E993)</f>
        <v>#N/A</v>
      </c>
      <c r="H993" s="5">
        <f t="shared" si="56"/>
        <v>0</v>
      </c>
      <c r="I993" s="5" t="e">
        <f t="shared" si="57"/>
        <v>#N/A</v>
      </c>
    </row>
    <row r="994" spans="1:9" x14ac:dyDescent="0.2">
      <c r="A994" s="30"/>
      <c r="F994" s="2" t="e" cm="1">
        <f t="array" ref="F994">_xlfn.IFS(B994="Owner Surrender",E994,B994="Stray",E994+6,B994="Stray w/identification",E994+11,B994="Bite",E994+10,B994="Other",E994+30,B994="BAS",E994+56,B994="Seized",E994)</f>
        <v>#N/A</v>
      </c>
      <c r="H994" s="5">
        <f t="shared" si="56"/>
        <v>0</v>
      </c>
      <c r="I994" s="5" t="e">
        <f t="shared" si="57"/>
        <v>#N/A</v>
      </c>
    </row>
    <row r="995" spans="1:9" x14ac:dyDescent="0.2">
      <c r="A995" s="30"/>
      <c r="H995" s="5">
        <f t="shared" si="56"/>
        <v>0</v>
      </c>
      <c r="I995" s="5">
        <f t="shared" si="57"/>
        <v>0</v>
      </c>
    </row>
    <row r="996" spans="1:9" x14ac:dyDescent="0.2">
      <c r="A996" s="30"/>
      <c r="H996" s="5">
        <f t="shared" si="56"/>
        <v>0</v>
      </c>
      <c r="I996" s="5">
        <f t="shared" si="57"/>
        <v>0</v>
      </c>
    </row>
    <row r="997" spans="1:9" x14ac:dyDescent="0.2">
      <c r="A997" s="30"/>
      <c r="H997" s="5">
        <f t="shared" si="56"/>
        <v>0</v>
      </c>
      <c r="I997" s="5">
        <f t="shared" si="57"/>
        <v>0</v>
      </c>
    </row>
    <row r="998" spans="1:9" x14ac:dyDescent="0.2">
      <c r="A998" s="30"/>
      <c r="H998" s="5">
        <f t="shared" si="56"/>
        <v>0</v>
      </c>
      <c r="I998" s="5">
        <f t="shared" si="57"/>
        <v>0</v>
      </c>
    </row>
    <row r="999" spans="1:9" x14ac:dyDescent="0.2">
      <c r="A999" s="30"/>
      <c r="H999" s="5">
        <f t="shared" si="56"/>
        <v>0</v>
      </c>
      <c r="I999" s="5">
        <f t="shared" si="57"/>
        <v>0</v>
      </c>
    </row>
    <row r="1000" spans="1:9" x14ac:dyDescent="0.2">
      <c r="A1000" s="30"/>
      <c r="H1000" s="5">
        <f t="shared" si="56"/>
        <v>0</v>
      </c>
      <c r="I1000" s="5">
        <f t="shared" si="57"/>
        <v>0</v>
      </c>
    </row>
    <row r="1001" spans="1:9" x14ac:dyDescent="0.2">
      <c r="A1001" s="30"/>
      <c r="H1001" s="5">
        <f t="shared" si="56"/>
        <v>0</v>
      </c>
      <c r="I1001" s="5">
        <f t="shared" si="57"/>
        <v>0</v>
      </c>
    </row>
    <row r="1002" spans="1:9" x14ac:dyDescent="0.2">
      <c r="A1002" s="30"/>
      <c r="H1002" s="5">
        <f t="shared" si="56"/>
        <v>0</v>
      </c>
      <c r="I1002" s="5">
        <f t="shared" si="57"/>
        <v>0</v>
      </c>
    </row>
    <row r="1003" spans="1:9" x14ac:dyDescent="0.2">
      <c r="A1003" s="30"/>
      <c r="H1003" s="5">
        <f t="shared" si="56"/>
        <v>0</v>
      </c>
      <c r="I1003" s="5">
        <f t="shared" si="57"/>
        <v>0</v>
      </c>
    </row>
    <row r="1004" spans="1:9" x14ac:dyDescent="0.2">
      <c r="A1004" s="30"/>
      <c r="H1004" s="5">
        <f t="shared" si="56"/>
        <v>0</v>
      </c>
      <c r="I1004" s="5">
        <f t="shared" si="57"/>
        <v>0</v>
      </c>
    </row>
    <row r="1005" spans="1:9" x14ac:dyDescent="0.2">
      <c r="A1005" s="30"/>
      <c r="H1005" s="5">
        <f t="shared" si="56"/>
        <v>0</v>
      </c>
      <c r="I1005" s="5">
        <f t="shared" si="57"/>
        <v>0</v>
      </c>
    </row>
    <row r="1006" spans="1:9" x14ac:dyDescent="0.2">
      <c r="A1006" s="30"/>
      <c r="H1006" s="5">
        <f t="shared" si="56"/>
        <v>0</v>
      </c>
      <c r="I1006" s="5">
        <f t="shared" si="57"/>
        <v>0</v>
      </c>
    </row>
    <row r="1007" spans="1:9" x14ac:dyDescent="0.2">
      <c r="A1007" s="30"/>
      <c r="H1007" s="5">
        <f t="shared" si="56"/>
        <v>0</v>
      </c>
      <c r="I1007" s="5">
        <f t="shared" si="57"/>
        <v>0</v>
      </c>
    </row>
    <row r="1008" spans="1:9" x14ac:dyDescent="0.2">
      <c r="A1008" s="30"/>
      <c r="H1008" s="5">
        <f t="shared" si="56"/>
        <v>0</v>
      </c>
      <c r="I1008" s="5">
        <f t="shared" si="57"/>
        <v>0</v>
      </c>
    </row>
    <row r="1009" spans="1:9" x14ac:dyDescent="0.2">
      <c r="A1009" s="30"/>
      <c r="H1009" s="5">
        <f t="shared" si="56"/>
        <v>0</v>
      </c>
      <c r="I1009" s="5">
        <f t="shared" si="57"/>
        <v>0</v>
      </c>
    </row>
    <row r="1010" spans="1:9" x14ac:dyDescent="0.2">
      <c r="A1010" s="30"/>
      <c r="H1010" s="5">
        <f t="shared" si="56"/>
        <v>0</v>
      </c>
      <c r="I1010" s="5">
        <f t="shared" si="57"/>
        <v>0</v>
      </c>
    </row>
    <row r="1011" spans="1:9" x14ac:dyDescent="0.2">
      <c r="A1011" s="30"/>
      <c r="H1011" s="5">
        <f t="shared" si="56"/>
        <v>0</v>
      </c>
      <c r="I1011" s="5">
        <f t="shared" si="57"/>
        <v>0</v>
      </c>
    </row>
    <row r="1012" spans="1:9" x14ac:dyDescent="0.2">
      <c r="A1012" s="30"/>
      <c r="H1012" s="5">
        <f t="shared" si="56"/>
        <v>0</v>
      </c>
      <c r="I1012" s="5">
        <f t="shared" si="57"/>
        <v>0</v>
      </c>
    </row>
    <row r="1013" spans="1:9" x14ac:dyDescent="0.2">
      <c r="A1013" s="30"/>
      <c r="H1013" s="5">
        <f t="shared" si="56"/>
        <v>0</v>
      </c>
      <c r="I1013" s="5">
        <f t="shared" si="57"/>
        <v>0</v>
      </c>
    </row>
    <row r="1014" spans="1:9" x14ac:dyDescent="0.2">
      <c r="A1014" s="30"/>
      <c r="H1014" s="5">
        <f t="shared" si="56"/>
        <v>0</v>
      </c>
      <c r="I1014" s="5">
        <f t="shared" si="57"/>
        <v>0</v>
      </c>
    </row>
    <row r="1015" spans="1:9" x14ac:dyDescent="0.2">
      <c r="A1015" s="30"/>
      <c r="H1015" s="5">
        <f t="shared" si="56"/>
        <v>0</v>
      </c>
      <c r="I1015" s="5">
        <f t="shared" si="57"/>
        <v>0</v>
      </c>
    </row>
    <row r="1016" spans="1:9" x14ac:dyDescent="0.2">
      <c r="A1016" s="30"/>
      <c r="H1016" s="5">
        <f t="shared" si="56"/>
        <v>0</v>
      </c>
      <c r="I1016" s="5">
        <f t="shared" si="57"/>
        <v>0</v>
      </c>
    </row>
    <row r="1017" spans="1:9" x14ac:dyDescent="0.2">
      <c r="A1017" s="30"/>
      <c r="H1017" s="5">
        <f t="shared" si="56"/>
        <v>0</v>
      </c>
      <c r="I1017" s="5">
        <f t="shared" si="57"/>
        <v>0</v>
      </c>
    </row>
    <row r="1018" spans="1:9" x14ac:dyDescent="0.2">
      <c r="A1018" s="30"/>
      <c r="H1018" s="5">
        <f t="shared" si="56"/>
        <v>0</v>
      </c>
      <c r="I1018" s="5">
        <f t="shared" si="57"/>
        <v>0</v>
      </c>
    </row>
    <row r="1019" spans="1:9" x14ac:dyDescent="0.2">
      <c r="A1019" s="30"/>
      <c r="H1019" s="5">
        <f t="shared" si="56"/>
        <v>0</v>
      </c>
      <c r="I1019" s="5">
        <f t="shared" si="57"/>
        <v>0</v>
      </c>
    </row>
    <row r="1020" spans="1:9" x14ac:dyDescent="0.2">
      <c r="A1020" s="30"/>
      <c r="H1020" s="5">
        <f t="shared" si="56"/>
        <v>0</v>
      </c>
      <c r="I1020" s="5">
        <f t="shared" si="57"/>
        <v>0</v>
      </c>
    </row>
    <row r="1021" spans="1:9" x14ac:dyDescent="0.2">
      <c r="A1021" s="30"/>
      <c r="H1021" s="5">
        <f t="shared" si="56"/>
        <v>0</v>
      </c>
      <c r="I1021" s="5">
        <f t="shared" si="57"/>
        <v>0</v>
      </c>
    </row>
    <row r="1022" spans="1:9" x14ac:dyDescent="0.2">
      <c r="A1022" s="30"/>
      <c r="H1022" s="5">
        <f t="shared" si="56"/>
        <v>0</v>
      </c>
      <c r="I1022" s="5">
        <f t="shared" si="57"/>
        <v>0</v>
      </c>
    </row>
    <row r="1023" spans="1:9" x14ac:dyDescent="0.2">
      <c r="A1023" s="30"/>
      <c r="H1023" s="5">
        <f t="shared" si="56"/>
        <v>0</v>
      </c>
      <c r="I1023" s="5">
        <f t="shared" si="57"/>
        <v>0</v>
      </c>
    </row>
    <row r="1024" spans="1:9" x14ac:dyDescent="0.2">
      <c r="A1024" s="30"/>
      <c r="H1024" s="5">
        <f t="shared" ref="H1024:H1087" si="59">+G1024-E1024</f>
        <v>0</v>
      </c>
      <c r="I1024" s="5">
        <f t="shared" ref="I1024:I1087" si="60">G1024-F1024</f>
        <v>0</v>
      </c>
    </row>
    <row r="1025" spans="1:9" x14ac:dyDescent="0.2">
      <c r="A1025" s="30"/>
      <c r="H1025" s="5">
        <f t="shared" si="59"/>
        <v>0</v>
      </c>
      <c r="I1025" s="5">
        <f t="shared" si="60"/>
        <v>0</v>
      </c>
    </row>
    <row r="1026" spans="1:9" x14ac:dyDescent="0.2">
      <c r="A1026" s="30"/>
      <c r="H1026" s="5">
        <f t="shared" si="59"/>
        <v>0</v>
      </c>
      <c r="I1026" s="5">
        <f t="shared" si="60"/>
        <v>0</v>
      </c>
    </row>
    <row r="1027" spans="1:9" x14ac:dyDescent="0.2">
      <c r="A1027" s="30"/>
      <c r="H1027" s="5">
        <f t="shared" si="59"/>
        <v>0</v>
      </c>
      <c r="I1027" s="5">
        <f t="shared" si="60"/>
        <v>0</v>
      </c>
    </row>
    <row r="1028" spans="1:9" x14ac:dyDescent="0.2">
      <c r="A1028" s="30"/>
      <c r="H1028" s="5">
        <f t="shared" si="59"/>
        <v>0</v>
      </c>
      <c r="I1028" s="5">
        <f t="shared" si="60"/>
        <v>0</v>
      </c>
    </row>
    <row r="1029" spans="1:9" x14ac:dyDescent="0.2">
      <c r="A1029" s="30"/>
      <c r="H1029" s="5">
        <f t="shared" si="59"/>
        <v>0</v>
      </c>
      <c r="I1029" s="5">
        <f t="shared" si="60"/>
        <v>0</v>
      </c>
    </row>
    <row r="1030" spans="1:9" x14ac:dyDescent="0.2">
      <c r="A1030" s="30"/>
      <c r="H1030" s="5">
        <f t="shared" si="59"/>
        <v>0</v>
      </c>
      <c r="I1030" s="5">
        <f t="shared" si="60"/>
        <v>0</v>
      </c>
    </row>
    <row r="1031" spans="1:9" x14ac:dyDescent="0.2">
      <c r="A1031" s="30"/>
      <c r="H1031" s="5">
        <f t="shared" si="59"/>
        <v>0</v>
      </c>
      <c r="I1031" s="5">
        <f t="shared" si="60"/>
        <v>0</v>
      </c>
    </row>
    <row r="1032" spans="1:9" x14ac:dyDescent="0.2">
      <c r="A1032" s="30"/>
      <c r="H1032" s="5">
        <f t="shared" si="59"/>
        <v>0</v>
      </c>
      <c r="I1032" s="5">
        <f t="shared" si="60"/>
        <v>0</v>
      </c>
    </row>
    <row r="1033" spans="1:9" x14ac:dyDescent="0.2">
      <c r="A1033" s="30"/>
      <c r="H1033" s="5">
        <f t="shared" si="59"/>
        <v>0</v>
      </c>
      <c r="I1033" s="5">
        <f t="shared" si="60"/>
        <v>0</v>
      </c>
    </row>
    <row r="1034" spans="1:9" x14ac:dyDescent="0.2">
      <c r="A1034" s="30"/>
      <c r="H1034" s="5">
        <f t="shared" si="59"/>
        <v>0</v>
      </c>
      <c r="I1034" s="5">
        <f t="shared" si="60"/>
        <v>0</v>
      </c>
    </row>
    <row r="1035" spans="1:9" x14ac:dyDescent="0.2">
      <c r="A1035" s="30"/>
      <c r="H1035" s="5">
        <f t="shared" si="59"/>
        <v>0</v>
      </c>
      <c r="I1035" s="5">
        <f t="shared" si="60"/>
        <v>0</v>
      </c>
    </row>
    <row r="1036" spans="1:9" x14ac:dyDescent="0.2">
      <c r="A1036" s="30"/>
      <c r="H1036" s="5">
        <f t="shared" si="59"/>
        <v>0</v>
      </c>
      <c r="I1036" s="5">
        <f t="shared" si="60"/>
        <v>0</v>
      </c>
    </row>
    <row r="1037" spans="1:9" x14ac:dyDescent="0.2">
      <c r="A1037" s="30"/>
      <c r="H1037" s="5">
        <f t="shared" si="59"/>
        <v>0</v>
      </c>
      <c r="I1037" s="5">
        <f t="shared" si="60"/>
        <v>0</v>
      </c>
    </row>
    <row r="1038" spans="1:9" x14ac:dyDescent="0.2">
      <c r="A1038" s="30"/>
      <c r="H1038" s="5">
        <f t="shared" si="59"/>
        <v>0</v>
      </c>
      <c r="I1038" s="5">
        <f t="shared" si="60"/>
        <v>0</v>
      </c>
    </row>
    <row r="1039" spans="1:9" x14ac:dyDescent="0.2">
      <c r="A1039" s="30"/>
      <c r="H1039" s="5">
        <f t="shared" si="59"/>
        <v>0</v>
      </c>
      <c r="I1039" s="5">
        <f t="shared" si="60"/>
        <v>0</v>
      </c>
    </row>
    <row r="1040" spans="1:9" x14ac:dyDescent="0.2">
      <c r="A1040" s="30"/>
      <c r="H1040" s="5">
        <f t="shared" si="59"/>
        <v>0</v>
      </c>
      <c r="I1040" s="5">
        <f t="shared" si="60"/>
        <v>0</v>
      </c>
    </row>
    <row r="1041" spans="1:9" x14ac:dyDescent="0.2">
      <c r="A1041" s="30"/>
      <c r="H1041" s="5">
        <f t="shared" si="59"/>
        <v>0</v>
      </c>
      <c r="I1041" s="5">
        <f t="shared" si="60"/>
        <v>0</v>
      </c>
    </row>
    <row r="1042" spans="1:9" x14ac:dyDescent="0.2">
      <c r="A1042" s="30"/>
      <c r="H1042" s="5">
        <f t="shared" si="59"/>
        <v>0</v>
      </c>
      <c r="I1042" s="5">
        <f t="shared" si="60"/>
        <v>0</v>
      </c>
    </row>
    <row r="1043" spans="1:9" x14ac:dyDescent="0.2">
      <c r="A1043" s="30"/>
      <c r="H1043" s="5">
        <f t="shared" si="59"/>
        <v>0</v>
      </c>
      <c r="I1043" s="5">
        <f t="shared" si="60"/>
        <v>0</v>
      </c>
    </row>
    <row r="1044" spans="1:9" x14ac:dyDescent="0.2">
      <c r="A1044" s="30"/>
      <c r="H1044" s="5">
        <f t="shared" si="59"/>
        <v>0</v>
      </c>
      <c r="I1044" s="5">
        <f t="shared" si="60"/>
        <v>0</v>
      </c>
    </row>
    <row r="1045" spans="1:9" x14ac:dyDescent="0.2">
      <c r="A1045" s="30"/>
      <c r="H1045" s="5">
        <f t="shared" si="59"/>
        <v>0</v>
      </c>
      <c r="I1045" s="5">
        <f t="shared" si="60"/>
        <v>0</v>
      </c>
    </row>
    <row r="1046" spans="1:9" x14ac:dyDescent="0.2">
      <c r="A1046" s="30"/>
      <c r="H1046" s="5">
        <f t="shared" si="59"/>
        <v>0</v>
      </c>
      <c r="I1046" s="5">
        <f t="shared" si="60"/>
        <v>0</v>
      </c>
    </row>
    <row r="1047" spans="1:9" x14ac:dyDescent="0.2">
      <c r="A1047" s="30"/>
      <c r="H1047" s="5">
        <f t="shared" si="59"/>
        <v>0</v>
      </c>
      <c r="I1047" s="5">
        <f t="shared" si="60"/>
        <v>0</v>
      </c>
    </row>
    <row r="1048" spans="1:9" x14ac:dyDescent="0.2">
      <c r="A1048" s="30"/>
      <c r="H1048" s="5">
        <f t="shared" si="59"/>
        <v>0</v>
      </c>
      <c r="I1048" s="5">
        <f t="shared" si="60"/>
        <v>0</v>
      </c>
    </row>
    <row r="1049" spans="1:9" x14ac:dyDescent="0.2">
      <c r="A1049" s="30"/>
      <c r="H1049" s="5">
        <f t="shared" si="59"/>
        <v>0</v>
      </c>
      <c r="I1049" s="5">
        <f t="shared" si="60"/>
        <v>0</v>
      </c>
    </row>
    <row r="1050" spans="1:9" x14ac:dyDescent="0.2">
      <c r="A1050" s="30"/>
      <c r="H1050" s="5">
        <f t="shared" si="59"/>
        <v>0</v>
      </c>
      <c r="I1050" s="5">
        <f t="shared" si="60"/>
        <v>0</v>
      </c>
    </row>
    <row r="1051" spans="1:9" x14ac:dyDescent="0.2">
      <c r="A1051" s="30"/>
      <c r="H1051" s="5">
        <f t="shared" si="59"/>
        <v>0</v>
      </c>
      <c r="I1051" s="5">
        <f t="shared" si="60"/>
        <v>0</v>
      </c>
    </row>
    <row r="1052" spans="1:9" x14ac:dyDescent="0.2">
      <c r="A1052" s="30"/>
      <c r="H1052" s="5">
        <f t="shared" si="59"/>
        <v>0</v>
      </c>
      <c r="I1052" s="5">
        <f t="shared" si="60"/>
        <v>0</v>
      </c>
    </row>
    <row r="1053" spans="1:9" x14ac:dyDescent="0.2">
      <c r="A1053" s="30"/>
      <c r="H1053" s="5">
        <f t="shared" si="59"/>
        <v>0</v>
      </c>
      <c r="I1053" s="5">
        <f t="shared" si="60"/>
        <v>0</v>
      </c>
    </row>
    <row r="1054" spans="1:9" x14ac:dyDescent="0.2">
      <c r="A1054" s="30"/>
      <c r="H1054" s="5">
        <f t="shared" si="59"/>
        <v>0</v>
      </c>
      <c r="I1054" s="5">
        <f t="shared" si="60"/>
        <v>0</v>
      </c>
    </row>
    <row r="1055" spans="1:9" x14ac:dyDescent="0.2">
      <c r="A1055" s="30"/>
      <c r="H1055" s="5">
        <f t="shared" si="59"/>
        <v>0</v>
      </c>
      <c r="I1055" s="5">
        <f t="shared" si="60"/>
        <v>0</v>
      </c>
    </row>
    <row r="1056" spans="1:9" x14ac:dyDescent="0.2">
      <c r="A1056" s="30"/>
      <c r="H1056" s="5">
        <f t="shared" si="59"/>
        <v>0</v>
      </c>
      <c r="I1056" s="5">
        <f t="shared" si="60"/>
        <v>0</v>
      </c>
    </row>
    <row r="1057" spans="1:9" x14ac:dyDescent="0.2">
      <c r="A1057" s="30"/>
      <c r="H1057" s="5">
        <f t="shared" si="59"/>
        <v>0</v>
      </c>
      <c r="I1057" s="5">
        <f t="shared" si="60"/>
        <v>0</v>
      </c>
    </row>
    <row r="1058" spans="1:9" x14ac:dyDescent="0.2">
      <c r="A1058" s="30"/>
      <c r="H1058" s="5">
        <f t="shared" si="59"/>
        <v>0</v>
      </c>
      <c r="I1058" s="5">
        <f t="shared" si="60"/>
        <v>0</v>
      </c>
    </row>
    <row r="1059" spans="1:9" x14ac:dyDescent="0.2">
      <c r="A1059" s="30"/>
      <c r="H1059" s="5">
        <f t="shared" si="59"/>
        <v>0</v>
      </c>
      <c r="I1059" s="5">
        <f t="shared" si="60"/>
        <v>0</v>
      </c>
    </row>
    <row r="1060" spans="1:9" x14ac:dyDescent="0.2">
      <c r="A1060" s="30"/>
      <c r="H1060" s="5">
        <f t="shared" si="59"/>
        <v>0</v>
      </c>
      <c r="I1060" s="5">
        <f t="shared" si="60"/>
        <v>0</v>
      </c>
    </row>
    <row r="1061" spans="1:9" x14ac:dyDescent="0.2">
      <c r="A1061" s="30"/>
      <c r="H1061" s="5">
        <f t="shared" si="59"/>
        <v>0</v>
      </c>
      <c r="I1061" s="5">
        <f t="shared" si="60"/>
        <v>0</v>
      </c>
    </row>
    <row r="1062" spans="1:9" x14ac:dyDescent="0.2">
      <c r="A1062" s="30"/>
      <c r="H1062" s="5">
        <f t="shared" si="59"/>
        <v>0</v>
      </c>
      <c r="I1062" s="5">
        <f t="shared" si="60"/>
        <v>0</v>
      </c>
    </row>
    <row r="1063" spans="1:9" x14ac:dyDescent="0.2">
      <c r="A1063" s="30"/>
      <c r="H1063" s="5">
        <f t="shared" si="59"/>
        <v>0</v>
      </c>
      <c r="I1063" s="5">
        <f t="shared" si="60"/>
        <v>0</v>
      </c>
    </row>
    <row r="1064" spans="1:9" x14ac:dyDescent="0.2">
      <c r="A1064" s="30"/>
      <c r="H1064" s="5">
        <f t="shared" si="59"/>
        <v>0</v>
      </c>
      <c r="I1064" s="5">
        <f t="shared" si="60"/>
        <v>0</v>
      </c>
    </row>
    <row r="1065" spans="1:9" x14ac:dyDescent="0.2">
      <c r="A1065" s="30"/>
      <c r="H1065" s="5">
        <f t="shared" si="59"/>
        <v>0</v>
      </c>
      <c r="I1065" s="5">
        <f t="shared" si="60"/>
        <v>0</v>
      </c>
    </row>
    <row r="1066" spans="1:9" x14ac:dyDescent="0.2">
      <c r="A1066" s="30"/>
      <c r="H1066" s="5">
        <f t="shared" si="59"/>
        <v>0</v>
      </c>
      <c r="I1066" s="5">
        <f t="shared" si="60"/>
        <v>0</v>
      </c>
    </row>
    <row r="1067" spans="1:9" x14ac:dyDescent="0.2">
      <c r="A1067" s="30"/>
      <c r="H1067" s="5">
        <f t="shared" si="59"/>
        <v>0</v>
      </c>
      <c r="I1067" s="5">
        <f t="shared" si="60"/>
        <v>0</v>
      </c>
    </row>
    <row r="1068" spans="1:9" x14ac:dyDescent="0.2">
      <c r="A1068" s="30"/>
      <c r="H1068" s="5">
        <f t="shared" si="59"/>
        <v>0</v>
      </c>
      <c r="I1068" s="5">
        <f t="shared" si="60"/>
        <v>0</v>
      </c>
    </row>
    <row r="1069" spans="1:9" x14ac:dyDescent="0.2">
      <c r="A1069" s="30"/>
      <c r="H1069" s="5">
        <f t="shared" si="59"/>
        <v>0</v>
      </c>
      <c r="I1069" s="5">
        <f t="shared" si="60"/>
        <v>0</v>
      </c>
    </row>
    <row r="1070" spans="1:9" x14ac:dyDescent="0.2">
      <c r="A1070" s="30"/>
      <c r="H1070" s="5">
        <f t="shared" si="59"/>
        <v>0</v>
      </c>
      <c r="I1070" s="5">
        <f t="shared" si="60"/>
        <v>0</v>
      </c>
    </row>
    <row r="1071" spans="1:9" x14ac:dyDescent="0.2">
      <c r="A1071" s="30"/>
      <c r="H1071" s="5">
        <f t="shared" si="59"/>
        <v>0</v>
      </c>
      <c r="I1071" s="5">
        <f t="shared" si="60"/>
        <v>0</v>
      </c>
    </row>
    <row r="1072" spans="1:9" x14ac:dyDescent="0.2">
      <c r="A1072" s="30"/>
      <c r="H1072" s="5">
        <f t="shared" si="59"/>
        <v>0</v>
      </c>
      <c r="I1072" s="5">
        <f t="shared" si="60"/>
        <v>0</v>
      </c>
    </row>
    <row r="1073" spans="1:9" x14ac:dyDescent="0.2">
      <c r="A1073" s="30"/>
      <c r="H1073" s="5">
        <f t="shared" si="59"/>
        <v>0</v>
      </c>
      <c r="I1073" s="5">
        <f t="shared" si="60"/>
        <v>0</v>
      </c>
    </row>
    <row r="1074" spans="1:9" x14ac:dyDescent="0.2">
      <c r="A1074" s="30"/>
      <c r="H1074" s="5">
        <f t="shared" si="59"/>
        <v>0</v>
      </c>
      <c r="I1074" s="5">
        <f t="shared" si="60"/>
        <v>0</v>
      </c>
    </row>
    <row r="1075" spans="1:9" x14ac:dyDescent="0.2">
      <c r="A1075" s="30"/>
      <c r="H1075" s="5">
        <f t="shared" si="59"/>
        <v>0</v>
      </c>
      <c r="I1075" s="5">
        <f t="shared" si="60"/>
        <v>0</v>
      </c>
    </row>
    <row r="1076" spans="1:9" x14ac:dyDescent="0.2">
      <c r="A1076" s="30"/>
      <c r="H1076" s="5">
        <f t="shared" si="59"/>
        <v>0</v>
      </c>
      <c r="I1076" s="5">
        <f t="shared" si="60"/>
        <v>0</v>
      </c>
    </row>
    <row r="1077" spans="1:9" x14ac:dyDescent="0.2">
      <c r="A1077" s="30"/>
      <c r="H1077" s="5">
        <f t="shared" si="59"/>
        <v>0</v>
      </c>
      <c r="I1077" s="5">
        <f t="shared" si="60"/>
        <v>0</v>
      </c>
    </row>
    <row r="1078" spans="1:9" x14ac:dyDescent="0.2">
      <c r="A1078" s="30"/>
      <c r="H1078" s="5">
        <f t="shared" si="59"/>
        <v>0</v>
      </c>
      <c r="I1078" s="5">
        <f t="shared" si="60"/>
        <v>0</v>
      </c>
    </row>
    <row r="1079" spans="1:9" x14ac:dyDescent="0.2">
      <c r="A1079" s="30"/>
      <c r="H1079" s="5">
        <f t="shared" si="59"/>
        <v>0</v>
      </c>
      <c r="I1079" s="5">
        <f t="shared" si="60"/>
        <v>0</v>
      </c>
    </row>
    <row r="1080" spans="1:9" x14ac:dyDescent="0.2">
      <c r="A1080" s="30"/>
      <c r="H1080" s="5">
        <f t="shared" si="59"/>
        <v>0</v>
      </c>
      <c r="I1080" s="5">
        <f t="shared" si="60"/>
        <v>0</v>
      </c>
    </row>
    <row r="1081" spans="1:9" x14ac:dyDescent="0.2">
      <c r="A1081" s="30"/>
      <c r="H1081" s="5">
        <f t="shared" si="59"/>
        <v>0</v>
      </c>
      <c r="I1081" s="5">
        <f t="shared" si="60"/>
        <v>0</v>
      </c>
    </row>
    <row r="1082" spans="1:9" x14ac:dyDescent="0.2">
      <c r="A1082" s="30"/>
      <c r="H1082" s="5">
        <f t="shared" si="59"/>
        <v>0</v>
      </c>
      <c r="I1082" s="5">
        <f t="shared" si="60"/>
        <v>0</v>
      </c>
    </row>
    <row r="1083" spans="1:9" x14ac:dyDescent="0.2">
      <c r="A1083" s="30"/>
      <c r="H1083" s="5">
        <f t="shared" si="59"/>
        <v>0</v>
      </c>
      <c r="I1083" s="5">
        <f t="shared" si="60"/>
        <v>0</v>
      </c>
    </row>
    <row r="1084" spans="1:9" x14ac:dyDescent="0.2">
      <c r="A1084" s="30"/>
      <c r="H1084" s="5">
        <f t="shared" si="59"/>
        <v>0</v>
      </c>
      <c r="I1084" s="5">
        <f t="shared" si="60"/>
        <v>0</v>
      </c>
    </row>
    <row r="1085" spans="1:9" x14ac:dyDescent="0.2">
      <c r="A1085" s="30"/>
      <c r="H1085" s="5">
        <f t="shared" si="59"/>
        <v>0</v>
      </c>
      <c r="I1085" s="5">
        <f t="shared" si="60"/>
        <v>0</v>
      </c>
    </row>
    <row r="1086" spans="1:9" x14ac:dyDescent="0.2">
      <c r="A1086" s="30"/>
      <c r="H1086" s="5">
        <f t="shared" si="59"/>
        <v>0</v>
      </c>
      <c r="I1086" s="5">
        <f t="shared" si="60"/>
        <v>0</v>
      </c>
    </row>
    <row r="1087" spans="1:9" x14ac:dyDescent="0.2">
      <c r="A1087" s="30"/>
      <c r="H1087" s="5">
        <f t="shared" si="59"/>
        <v>0</v>
      </c>
      <c r="I1087" s="5">
        <f t="shared" si="60"/>
        <v>0</v>
      </c>
    </row>
    <row r="1088" spans="1:9" x14ac:dyDescent="0.2">
      <c r="A1088" s="30"/>
      <c r="H1088" s="5">
        <f t="shared" ref="H1088:H1151" si="61">+G1088-E1088</f>
        <v>0</v>
      </c>
      <c r="I1088" s="5">
        <f t="shared" ref="I1088:I1151" si="62">G1088-F1088</f>
        <v>0</v>
      </c>
    </row>
    <row r="1089" spans="1:9" x14ac:dyDescent="0.2">
      <c r="A1089" s="30"/>
      <c r="H1089" s="5">
        <f t="shared" si="61"/>
        <v>0</v>
      </c>
      <c r="I1089" s="5">
        <f t="shared" si="62"/>
        <v>0</v>
      </c>
    </row>
    <row r="1090" spans="1:9" x14ac:dyDescent="0.2">
      <c r="A1090" s="30"/>
      <c r="H1090" s="5">
        <f t="shared" si="61"/>
        <v>0</v>
      </c>
      <c r="I1090" s="5">
        <f t="shared" si="62"/>
        <v>0</v>
      </c>
    </row>
    <row r="1091" spans="1:9" x14ac:dyDescent="0.2">
      <c r="A1091" s="30"/>
      <c r="H1091" s="5">
        <f t="shared" si="61"/>
        <v>0</v>
      </c>
      <c r="I1091" s="5">
        <f t="shared" si="62"/>
        <v>0</v>
      </c>
    </row>
    <row r="1092" spans="1:9" x14ac:dyDescent="0.2">
      <c r="A1092" s="30"/>
      <c r="H1092" s="5">
        <f t="shared" si="61"/>
        <v>0</v>
      </c>
      <c r="I1092" s="5">
        <f t="shared" si="62"/>
        <v>0</v>
      </c>
    </row>
    <row r="1093" spans="1:9" x14ac:dyDescent="0.2">
      <c r="A1093" s="30"/>
      <c r="H1093" s="5">
        <f t="shared" si="61"/>
        <v>0</v>
      </c>
      <c r="I1093" s="5">
        <f t="shared" si="62"/>
        <v>0</v>
      </c>
    </row>
    <row r="1094" spans="1:9" x14ac:dyDescent="0.2">
      <c r="A1094" s="30"/>
      <c r="H1094" s="5">
        <f t="shared" si="61"/>
        <v>0</v>
      </c>
      <c r="I1094" s="5">
        <f t="shared" si="62"/>
        <v>0</v>
      </c>
    </row>
    <row r="1095" spans="1:9" x14ac:dyDescent="0.2">
      <c r="A1095" s="30"/>
      <c r="H1095" s="5">
        <f t="shared" si="61"/>
        <v>0</v>
      </c>
      <c r="I1095" s="5">
        <f t="shared" si="62"/>
        <v>0</v>
      </c>
    </row>
    <row r="1096" spans="1:9" x14ac:dyDescent="0.2">
      <c r="A1096" s="30"/>
      <c r="H1096" s="5">
        <f t="shared" si="61"/>
        <v>0</v>
      </c>
      <c r="I1096" s="5">
        <f t="shared" si="62"/>
        <v>0</v>
      </c>
    </row>
    <row r="1097" spans="1:9" x14ac:dyDescent="0.2">
      <c r="A1097" s="30"/>
      <c r="H1097" s="5">
        <f t="shared" si="61"/>
        <v>0</v>
      </c>
      <c r="I1097" s="5">
        <f t="shared" si="62"/>
        <v>0</v>
      </c>
    </row>
    <row r="1098" spans="1:9" x14ac:dyDescent="0.2">
      <c r="A1098" s="30"/>
      <c r="H1098" s="5">
        <f t="shared" si="61"/>
        <v>0</v>
      </c>
      <c r="I1098" s="5">
        <f t="shared" si="62"/>
        <v>0</v>
      </c>
    </row>
    <row r="1099" spans="1:9" x14ac:dyDescent="0.2">
      <c r="A1099" s="30"/>
      <c r="H1099" s="5">
        <f t="shared" si="61"/>
        <v>0</v>
      </c>
      <c r="I1099" s="5">
        <f t="shared" si="62"/>
        <v>0</v>
      </c>
    </row>
    <row r="1100" spans="1:9" x14ac:dyDescent="0.2">
      <c r="A1100" s="30"/>
      <c r="H1100" s="5">
        <f t="shared" si="61"/>
        <v>0</v>
      </c>
      <c r="I1100" s="5">
        <f t="shared" si="62"/>
        <v>0</v>
      </c>
    </row>
    <row r="1101" spans="1:9" x14ac:dyDescent="0.2">
      <c r="A1101" s="30"/>
      <c r="H1101" s="5">
        <f t="shared" si="61"/>
        <v>0</v>
      </c>
      <c r="I1101" s="5">
        <f t="shared" si="62"/>
        <v>0</v>
      </c>
    </row>
    <row r="1102" spans="1:9" x14ac:dyDescent="0.2">
      <c r="A1102" s="30"/>
      <c r="H1102" s="5">
        <f t="shared" si="61"/>
        <v>0</v>
      </c>
      <c r="I1102" s="5">
        <f t="shared" si="62"/>
        <v>0</v>
      </c>
    </row>
    <row r="1103" spans="1:9" x14ac:dyDescent="0.2">
      <c r="A1103" s="30"/>
      <c r="H1103" s="5">
        <f t="shared" si="61"/>
        <v>0</v>
      </c>
      <c r="I1103" s="5">
        <f t="shared" si="62"/>
        <v>0</v>
      </c>
    </row>
    <row r="1104" spans="1:9" x14ac:dyDescent="0.2">
      <c r="A1104" s="30"/>
      <c r="H1104" s="5">
        <f t="shared" si="61"/>
        <v>0</v>
      </c>
      <c r="I1104" s="5">
        <f t="shared" si="62"/>
        <v>0</v>
      </c>
    </row>
    <row r="1105" spans="1:9" x14ac:dyDescent="0.2">
      <c r="A1105" s="30"/>
      <c r="H1105" s="5">
        <f t="shared" si="61"/>
        <v>0</v>
      </c>
      <c r="I1105" s="5">
        <f t="shared" si="62"/>
        <v>0</v>
      </c>
    </row>
    <row r="1106" spans="1:9" x14ac:dyDescent="0.2">
      <c r="A1106" s="30"/>
      <c r="H1106" s="5">
        <f t="shared" si="61"/>
        <v>0</v>
      </c>
      <c r="I1106" s="5">
        <f t="shared" si="62"/>
        <v>0</v>
      </c>
    </row>
    <row r="1107" spans="1:9" x14ac:dyDescent="0.2">
      <c r="A1107" s="30"/>
      <c r="H1107" s="5">
        <f t="shared" si="61"/>
        <v>0</v>
      </c>
      <c r="I1107" s="5">
        <f t="shared" si="62"/>
        <v>0</v>
      </c>
    </row>
    <row r="1108" spans="1:9" x14ac:dyDescent="0.2">
      <c r="A1108" s="30"/>
      <c r="H1108" s="5">
        <f t="shared" si="61"/>
        <v>0</v>
      </c>
      <c r="I1108" s="5">
        <f t="shared" si="62"/>
        <v>0</v>
      </c>
    </row>
    <row r="1109" spans="1:9" x14ac:dyDescent="0.2">
      <c r="A1109" s="30"/>
      <c r="H1109" s="5">
        <f t="shared" si="61"/>
        <v>0</v>
      </c>
      <c r="I1109" s="5">
        <f t="shared" si="62"/>
        <v>0</v>
      </c>
    </row>
    <row r="1110" spans="1:9" x14ac:dyDescent="0.2">
      <c r="A1110" s="30"/>
      <c r="H1110" s="5">
        <f t="shared" si="61"/>
        <v>0</v>
      </c>
      <c r="I1110" s="5">
        <f t="shared" si="62"/>
        <v>0</v>
      </c>
    </row>
    <row r="1111" spans="1:9" x14ac:dyDescent="0.2">
      <c r="A1111" s="30"/>
      <c r="H1111" s="5">
        <f t="shared" si="61"/>
        <v>0</v>
      </c>
      <c r="I1111" s="5">
        <f t="shared" si="62"/>
        <v>0</v>
      </c>
    </row>
    <row r="1112" spans="1:9" x14ac:dyDescent="0.2">
      <c r="A1112" s="30"/>
      <c r="H1112" s="5">
        <f t="shared" si="61"/>
        <v>0</v>
      </c>
      <c r="I1112" s="5">
        <f t="shared" si="62"/>
        <v>0</v>
      </c>
    </row>
    <row r="1113" spans="1:9" x14ac:dyDescent="0.2">
      <c r="A1113" s="30"/>
      <c r="H1113" s="5">
        <f t="shared" si="61"/>
        <v>0</v>
      </c>
      <c r="I1113" s="5">
        <f t="shared" si="62"/>
        <v>0</v>
      </c>
    </row>
    <row r="1114" spans="1:9" x14ac:dyDescent="0.2">
      <c r="A1114" s="30"/>
      <c r="H1114" s="5">
        <f t="shared" si="61"/>
        <v>0</v>
      </c>
      <c r="I1114" s="5">
        <f t="shared" si="62"/>
        <v>0</v>
      </c>
    </row>
    <row r="1115" spans="1:9" x14ac:dyDescent="0.2">
      <c r="A1115" s="30"/>
      <c r="H1115" s="5">
        <f t="shared" si="61"/>
        <v>0</v>
      </c>
      <c r="I1115" s="5">
        <f t="shared" si="62"/>
        <v>0</v>
      </c>
    </row>
    <row r="1116" spans="1:9" x14ac:dyDescent="0.2">
      <c r="A1116" s="30"/>
      <c r="H1116" s="5">
        <f t="shared" si="61"/>
        <v>0</v>
      </c>
      <c r="I1116" s="5">
        <f t="shared" si="62"/>
        <v>0</v>
      </c>
    </row>
    <row r="1117" spans="1:9" x14ac:dyDescent="0.2">
      <c r="A1117" s="30"/>
      <c r="H1117" s="5">
        <f t="shared" si="61"/>
        <v>0</v>
      </c>
      <c r="I1117" s="5">
        <f t="shared" si="62"/>
        <v>0</v>
      </c>
    </row>
    <row r="1118" spans="1:9" x14ac:dyDescent="0.2">
      <c r="A1118" s="30"/>
      <c r="H1118" s="5">
        <f t="shared" si="61"/>
        <v>0</v>
      </c>
      <c r="I1118" s="5">
        <f t="shared" si="62"/>
        <v>0</v>
      </c>
    </row>
    <row r="1119" spans="1:9" x14ac:dyDescent="0.2">
      <c r="A1119" s="30"/>
      <c r="H1119" s="5">
        <f t="shared" si="61"/>
        <v>0</v>
      </c>
      <c r="I1119" s="5">
        <f t="shared" si="62"/>
        <v>0</v>
      </c>
    </row>
    <row r="1120" spans="1:9" x14ac:dyDescent="0.2">
      <c r="A1120" s="30"/>
      <c r="H1120" s="5">
        <f t="shared" si="61"/>
        <v>0</v>
      </c>
      <c r="I1120" s="5">
        <f t="shared" si="62"/>
        <v>0</v>
      </c>
    </row>
    <row r="1121" spans="1:9" x14ac:dyDescent="0.2">
      <c r="A1121" s="30"/>
      <c r="H1121" s="5">
        <f t="shared" si="61"/>
        <v>0</v>
      </c>
      <c r="I1121" s="5">
        <f t="shared" si="62"/>
        <v>0</v>
      </c>
    </row>
    <row r="1122" spans="1:9" x14ac:dyDescent="0.2">
      <c r="A1122" s="30"/>
      <c r="H1122" s="5">
        <f t="shared" si="61"/>
        <v>0</v>
      </c>
      <c r="I1122" s="5">
        <f t="shared" si="62"/>
        <v>0</v>
      </c>
    </row>
    <row r="1123" spans="1:9" x14ac:dyDescent="0.2">
      <c r="A1123" s="30"/>
      <c r="H1123" s="5">
        <f t="shared" si="61"/>
        <v>0</v>
      </c>
      <c r="I1123" s="5">
        <f t="shared" si="62"/>
        <v>0</v>
      </c>
    </row>
    <row r="1124" spans="1:9" x14ac:dyDescent="0.2">
      <c r="A1124" s="30"/>
      <c r="H1124" s="5">
        <f t="shared" si="61"/>
        <v>0</v>
      </c>
      <c r="I1124" s="5">
        <f t="shared" si="62"/>
        <v>0</v>
      </c>
    </row>
    <row r="1125" spans="1:9" x14ac:dyDescent="0.2">
      <c r="A1125" s="30"/>
      <c r="H1125" s="5">
        <f t="shared" si="61"/>
        <v>0</v>
      </c>
      <c r="I1125" s="5">
        <f t="shared" si="62"/>
        <v>0</v>
      </c>
    </row>
    <row r="1126" spans="1:9" x14ac:dyDescent="0.2">
      <c r="A1126" s="30"/>
      <c r="H1126" s="5">
        <f t="shared" si="61"/>
        <v>0</v>
      </c>
      <c r="I1126" s="5">
        <f t="shared" si="62"/>
        <v>0</v>
      </c>
    </row>
    <row r="1127" spans="1:9" x14ac:dyDescent="0.2">
      <c r="A1127" s="30"/>
      <c r="H1127" s="5">
        <f t="shared" si="61"/>
        <v>0</v>
      </c>
      <c r="I1127" s="5">
        <f t="shared" si="62"/>
        <v>0</v>
      </c>
    </row>
    <row r="1128" spans="1:9" x14ac:dyDescent="0.2">
      <c r="A1128" s="30"/>
      <c r="H1128" s="5">
        <f t="shared" si="61"/>
        <v>0</v>
      </c>
      <c r="I1128" s="5">
        <f t="shared" si="62"/>
        <v>0</v>
      </c>
    </row>
    <row r="1129" spans="1:9" x14ac:dyDescent="0.2">
      <c r="A1129" s="30"/>
      <c r="H1129" s="5">
        <f t="shared" si="61"/>
        <v>0</v>
      </c>
      <c r="I1129" s="5">
        <f t="shared" si="62"/>
        <v>0</v>
      </c>
    </row>
    <row r="1130" spans="1:9" x14ac:dyDescent="0.2">
      <c r="A1130" s="30"/>
      <c r="H1130" s="5">
        <f t="shared" si="61"/>
        <v>0</v>
      </c>
      <c r="I1130" s="5">
        <f t="shared" si="62"/>
        <v>0</v>
      </c>
    </row>
    <row r="1131" spans="1:9" x14ac:dyDescent="0.2">
      <c r="A1131" s="30"/>
      <c r="H1131" s="5">
        <f t="shared" si="61"/>
        <v>0</v>
      </c>
      <c r="I1131" s="5">
        <f t="shared" si="62"/>
        <v>0</v>
      </c>
    </row>
    <row r="1132" spans="1:9" x14ac:dyDescent="0.2">
      <c r="A1132" s="30"/>
      <c r="H1132" s="5">
        <f t="shared" si="61"/>
        <v>0</v>
      </c>
      <c r="I1132" s="5">
        <f t="shared" si="62"/>
        <v>0</v>
      </c>
    </row>
    <row r="1133" spans="1:9" x14ac:dyDescent="0.2">
      <c r="A1133" s="30"/>
      <c r="H1133" s="5">
        <f t="shared" si="61"/>
        <v>0</v>
      </c>
      <c r="I1133" s="5">
        <f t="shared" si="62"/>
        <v>0</v>
      </c>
    </row>
    <row r="1134" spans="1:9" x14ac:dyDescent="0.2">
      <c r="A1134" s="30"/>
      <c r="H1134" s="5">
        <f t="shared" si="61"/>
        <v>0</v>
      </c>
      <c r="I1134" s="5">
        <f t="shared" si="62"/>
        <v>0</v>
      </c>
    </row>
    <row r="1135" spans="1:9" x14ac:dyDescent="0.2">
      <c r="A1135" s="30"/>
      <c r="H1135" s="5">
        <f t="shared" si="61"/>
        <v>0</v>
      </c>
      <c r="I1135" s="5">
        <f t="shared" si="62"/>
        <v>0</v>
      </c>
    </row>
    <row r="1136" spans="1:9" x14ac:dyDescent="0.2">
      <c r="A1136" s="30"/>
      <c r="H1136" s="5">
        <f t="shared" si="61"/>
        <v>0</v>
      </c>
      <c r="I1136" s="5">
        <f t="shared" si="62"/>
        <v>0</v>
      </c>
    </row>
    <row r="1137" spans="1:9" x14ac:dyDescent="0.2">
      <c r="A1137" s="30"/>
      <c r="H1137" s="5">
        <f t="shared" si="61"/>
        <v>0</v>
      </c>
      <c r="I1137" s="5">
        <f t="shared" si="62"/>
        <v>0</v>
      </c>
    </row>
    <row r="1138" spans="1:9" x14ac:dyDescent="0.2">
      <c r="A1138" s="30"/>
      <c r="H1138" s="5">
        <f t="shared" si="61"/>
        <v>0</v>
      </c>
      <c r="I1138" s="5">
        <f t="shared" si="62"/>
        <v>0</v>
      </c>
    </row>
    <row r="1139" spans="1:9" x14ac:dyDescent="0.2">
      <c r="A1139" s="30"/>
      <c r="H1139" s="5">
        <f t="shared" si="61"/>
        <v>0</v>
      </c>
      <c r="I1139" s="5">
        <f t="shared" si="62"/>
        <v>0</v>
      </c>
    </row>
    <row r="1140" spans="1:9" x14ac:dyDescent="0.2">
      <c r="A1140" s="30"/>
      <c r="H1140" s="5">
        <f t="shared" si="61"/>
        <v>0</v>
      </c>
      <c r="I1140" s="5">
        <f t="shared" si="62"/>
        <v>0</v>
      </c>
    </row>
    <row r="1141" spans="1:9" x14ac:dyDescent="0.2">
      <c r="A1141" s="30"/>
      <c r="H1141" s="5">
        <f t="shared" si="61"/>
        <v>0</v>
      </c>
      <c r="I1141" s="5">
        <f t="shared" si="62"/>
        <v>0</v>
      </c>
    </row>
    <row r="1142" spans="1:9" x14ac:dyDescent="0.2">
      <c r="A1142" s="30"/>
      <c r="H1142" s="5">
        <f t="shared" si="61"/>
        <v>0</v>
      </c>
      <c r="I1142" s="5">
        <f t="shared" si="62"/>
        <v>0</v>
      </c>
    </row>
    <row r="1143" spans="1:9" x14ac:dyDescent="0.2">
      <c r="A1143" s="30"/>
      <c r="H1143" s="5">
        <f t="shared" si="61"/>
        <v>0</v>
      </c>
      <c r="I1143" s="5">
        <f t="shared" si="62"/>
        <v>0</v>
      </c>
    </row>
    <row r="1144" spans="1:9" x14ac:dyDescent="0.2">
      <c r="A1144" s="30"/>
      <c r="H1144" s="5">
        <f t="shared" si="61"/>
        <v>0</v>
      </c>
      <c r="I1144" s="5">
        <f t="shared" si="62"/>
        <v>0</v>
      </c>
    </row>
    <row r="1145" spans="1:9" x14ac:dyDescent="0.2">
      <c r="A1145" s="30"/>
      <c r="H1145" s="5">
        <f t="shared" si="61"/>
        <v>0</v>
      </c>
      <c r="I1145" s="5">
        <f t="shared" si="62"/>
        <v>0</v>
      </c>
    </row>
    <row r="1146" spans="1:9" x14ac:dyDescent="0.2">
      <c r="A1146" s="30"/>
      <c r="H1146" s="5">
        <f t="shared" si="61"/>
        <v>0</v>
      </c>
      <c r="I1146" s="5">
        <f t="shared" si="62"/>
        <v>0</v>
      </c>
    </row>
    <row r="1147" spans="1:9" x14ac:dyDescent="0.2">
      <c r="A1147" s="30"/>
      <c r="H1147" s="5">
        <f t="shared" si="61"/>
        <v>0</v>
      </c>
      <c r="I1147" s="5">
        <f t="shared" si="62"/>
        <v>0</v>
      </c>
    </row>
    <row r="1148" spans="1:9" x14ac:dyDescent="0.2">
      <c r="A1148" s="30"/>
      <c r="H1148" s="5">
        <f t="shared" si="61"/>
        <v>0</v>
      </c>
      <c r="I1148" s="5">
        <f t="shared" si="62"/>
        <v>0</v>
      </c>
    </row>
    <row r="1149" spans="1:9" x14ac:dyDescent="0.2">
      <c r="A1149" s="30"/>
      <c r="H1149" s="5">
        <f t="shared" si="61"/>
        <v>0</v>
      </c>
      <c r="I1149" s="5">
        <f t="shared" si="62"/>
        <v>0</v>
      </c>
    </row>
    <row r="1150" spans="1:9" x14ac:dyDescent="0.2">
      <c r="A1150" s="30"/>
      <c r="H1150" s="5">
        <f t="shared" si="61"/>
        <v>0</v>
      </c>
      <c r="I1150" s="5">
        <f t="shared" si="62"/>
        <v>0</v>
      </c>
    </row>
    <row r="1151" spans="1:9" x14ac:dyDescent="0.2">
      <c r="A1151" s="30"/>
      <c r="H1151" s="5">
        <f t="shared" si="61"/>
        <v>0</v>
      </c>
      <c r="I1151" s="5">
        <f t="shared" si="62"/>
        <v>0</v>
      </c>
    </row>
    <row r="1152" spans="1:9" x14ac:dyDescent="0.2">
      <c r="A1152" s="30"/>
      <c r="H1152" s="5">
        <f t="shared" ref="H1152:H1215" si="63">+G1152-E1152</f>
        <v>0</v>
      </c>
      <c r="I1152" s="5">
        <f t="shared" ref="I1152:I1215" si="64">G1152-F1152</f>
        <v>0</v>
      </c>
    </row>
    <row r="1153" spans="1:9" x14ac:dyDescent="0.2">
      <c r="A1153" s="30"/>
      <c r="H1153" s="5">
        <f t="shared" si="63"/>
        <v>0</v>
      </c>
      <c r="I1153" s="5">
        <f t="shared" si="64"/>
        <v>0</v>
      </c>
    </row>
    <row r="1154" spans="1:9" x14ac:dyDescent="0.2">
      <c r="A1154" s="30"/>
      <c r="H1154" s="5">
        <f t="shared" si="63"/>
        <v>0</v>
      </c>
      <c r="I1154" s="5">
        <f t="shared" si="64"/>
        <v>0</v>
      </c>
    </row>
    <row r="1155" spans="1:9" x14ac:dyDescent="0.2">
      <c r="A1155" s="30"/>
      <c r="H1155" s="5">
        <f t="shared" si="63"/>
        <v>0</v>
      </c>
      <c r="I1155" s="5">
        <f t="shared" si="64"/>
        <v>0</v>
      </c>
    </row>
    <row r="1156" spans="1:9" x14ac:dyDescent="0.2">
      <c r="A1156" s="30"/>
      <c r="H1156" s="5">
        <f t="shared" si="63"/>
        <v>0</v>
      </c>
      <c r="I1156" s="5">
        <f t="shared" si="64"/>
        <v>0</v>
      </c>
    </row>
    <row r="1157" spans="1:9" x14ac:dyDescent="0.2">
      <c r="A1157" s="30"/>
      <c r="H1157" s="5">
        <f t="shared" si="63"/>
        <v>0</v>
      </c>
      <c r="I1157" s="5">
        <f t="shared" si="64"/>
        <v>0</v>
      </c>
    </row>
    <row r="1158" spans="1:9" x14ac:dyDescent="0.2">
      <c r="A1158" s="30"/>
      <c r="H1158" s="5">
        <f t="shared" si="63"/>
        <v>0</v>
      </c>
      <c r="I1158" s="5">
        <f t="shared" si="64"/>
        <v>0</v>
      </c>
    </row>
    <row r="1159" spans="1:9" x14ac:dyDescent="0.2">
      <c r="A1159" s="30"/>
      <c r="H1159" s="5">
        <f t="shared" si="63"/>
        <v>0</v>
      </c>
      <c r="I1159" s="5">
        <f t="shared" si="64"/>
        <v>0</v>
      </c>
    </row>
    <row r="1160" spans="1:9" x14ac:dyDescent="0.2">
      <c r="A1160" s="30"/>
      <c r="H1160" s="5">
        <f t="shared" si="63"/>
        <v>0</v>
      </c>
      <c r="I1160" s="5">
        <f t="shared" si="64"/>
        <v>0</v>
      </c>
    </row>
    <row r="1161" spans="1:9" x14ac:dyDescent="0.2">
      <c r="A1161" s="30"/>
      <c r="H1161" s="5">
        <f t="shared" si="63"/>
        <v>0</v>
      </c>
      <c r="I1161" s="5">
        <f t="shared" si="64"/>
        <v>0</v>
      </c>
    </row>
    <row r="1162" spans="1:9" x14ac:dyDescent="0.2">
      <c r="A1162" s="30"/>
      <c r="H1162" s="5">
        <f t="shared" si="63"/>
        <v>0</v>
      </c>
      <c r="I1162" s="5">
        <f t="shared" si="64"/>
        <v>0</v>
      </c>
    </row>
    <row r="1163" spans="1:9" x14ac:dyDescent="0.2">
      <c r="A1163" s="30"/>
      <c r="H1163" s="5">
        <f t="shared" si="63"/>
        <v>0</v>
      </c>
      <c r="I1163" s="5">
        <f t="shared" si="64"/>
        <v>0</v>
      </c>
    </row>
    <row r="1164" spans="1:9" x14ac:dyDescent="0.2">
      <c r="A1164" s="30"/>
      <c r="H1164" s="5">
        <f t="shared" si="63"/>
        <v>0</v>
      </c>
      <c r="I1164" s="5">
        <f t="shared" si="64"/>
        <v>0</v>
      </c>
    </row>
    <row r="1165" spans="1:9" x14ac:dyDescent="0.2">
      <c r="A1165" s="30"/>
      <c r="H1165" s="5">
        <f t="shared" si="63"/>
        <v>0</v>
      </c>
      <c r="I1165" s="5">
        <f t="shared" si="64"/>
        <v>0</v>
      </c>
    </row>
    <row r="1166" spans="1:9" x14ac:dyDescent="0.2">
      <c r="A1166" s="30"/>
      <c r="H1166" s="5">
        <f t="shared" si="63"/>
        <v>0</v>
      </c>
      <c r="I1166" s="5">
        <f t="shared" si="64"/>
        <v>0</v>
      </c>
    </row>
    <row r="1167" spans="1:9" x14ac:dyDescent="0.2">
      <c r="A1167" s="30"/>
      <c r="H1167" s="5">
        <f t="shared" si="63"/>
        <v>0</v>
      </c>
      <c r="I1167" s="5">
        <f t="shared" si="64"/>
        <v>0</v>
      </c>
    </row>
    <row r="1168" spans="1:9" x14ac:dyDescent="0.2">
      <c r="A1168" s="30"/>
      <c r="H1168" s="5">
        <f t="shared" si="63"/>
        <v>0</v>
      </c>
      <c r="I1168" s="5">
        <f t="shared" si="64"/>
        <v>0</v>
      </c>
    </row>
    <row r="1169" spans="1:9" x14ac:dyDescent="0.2">
      <c r="A1169" s="30"/>
      <c r="H1169" s="5">
        <f t="shared" si="63"/>
        <v>0</v>
      </c>
      <c r="I1169" s="5">
        <f t="shared" si="64"/>
        <v>0</v>
      </c>
    </row>
    <row r="1170" spans="1:9" x14ac:dyDescent="0.2">
      <c r="A1170" s="30"/>
      <c r="H1170" s="5">
        <f t="shared" si="63"/>
        <v>0</v>
      </c>
      <c r="I1170" s="5">
        <f t="shared" si="64"/>
        <v>0</v>
      </c>
    </row>
    <row r="1171" spans="1:9" x14ac:dyDescent="0.2">
      <c r="A1171" s="30"/>
      <c r="H1171" s="5">
        <f t="shared" si="63"/>
        <v>0</v>
      </c>
      <c r="I1171" s="5">
        <f t="shared" si="64"/>
        <v>0</v>
      </c>
    </row>
    <row r="1172" spans="1:9" x14ac:dyDescent="0.2">
      <c r="A1172" s="30"/>
      <c r="H1172" s="5">
        <f t="shared" si="63"/>
        <v>0</v>
      </c>
      <c r="I1172" s="5">
        <f t="shared" si="64"/>
        <v>0</v>
      </c>
    </row>
    <row r="1173" spans="1:9" x14ac:dyDescent="0.2">
      <c r="A1173" s="30"/>
      <c r="H1173" s="5">
        <f t="shared" si="63"/>
        <v>0</v>
      </c>
      <c r="I1173" s="5">
        <f t="shared" si="64"/>
        <v>0</v>
      </c>
    </row>
    <row r="1174" spans="1:9" x14ac:dyDescent="0.2">
      <c r="A1174" s="30"/>
      <c r="H1174" s="5">
        <f t="shared" si="63"/>
        <v>0</v>
      </c>
      <c r="I1174" s="5">
        <f t="shared" si="64"/>
        <v>0</v>
      </c>
    </row>
    <row r="1175" spans="1:9" x14ac:dyDescent="0.2">
      <c r="A1175" s="30"/>
      <c r="H1175" s="5">
        <f t="shared" si="63"/>
        <v>0</v>
      </c>
      <c r="I1175" s="5">
        <f t="shared" si="64"/>
        <v>0</v>
      </c>
    </row>
    <row r="1176" spans="1:9" x14ac:dyDescent="0.2">
      <c r="A1176" s="30"/>
      <c r="H1176" s="5">
        <f t="shared" si="63"/>
        <v>0</v>
      </c>
      <c r="I1176" s="5">
        <f t="shared" si="64"/>
        <v>0</v>
      </c>
    </row>
    <row r="1177" spans="1:9" x14ac:dyDescent="0.2">
      <c r="A1177" s="30"/>
      <c r="H1177" s="5">
        <f t="shared" si="63"/>
        <v>0</v>
      </c>
      <c r="I1177" s="5">
        <f t="shared" si="64"/>
        <v>0</v>
      </c>
    </row>
    <row r="1178" spans="1:9" x14ac:dyDescent="0.2">
      <c r="A1178" s="30"/>
      <c r="H1178" s="5">
        <f t="shared" si="63"/>
        <v>0</v>
      </c>
      <c r="I1178" s="5">
        <f t="shared" si="64"/>
        <v>0</v>
      </c>
    </row>
    <row r="1179" spans="1:9" x14ac:dyDescent="0.2">
      <c r="A1179" s="30"/>
      <c r="H1179" s="5">
        <f t="shared" si="63"/>
        <v>0</v>
      </c>
      <c r="I1179" s="5">
        <f t="shared" si="64"/>
        <v>0</v>
      </c>
    </row>
    <row r="1180" spans="1:9" x14ac:dyDescent="0.2">
      <c r="A1180" s="30"/>
      <c r="H1180" s="5">
        <f t="shared" si="63"/>
        <v>0</v>
      </c>
      <c r="I1180" s="5">
        <f t="shared" si="64"/>
        <v>0</v>
      </c>
    </row>
    <row r="1181" spans="1:9" x14ac:dyDescent="0.2">
      <c r="A1181" s="30"/>
      <c r="H1181" s="5">
        <f t="shared" si="63"/>
        <v>0</v>
      </c>
      <c r="I1181" s="5">
        <f t="shared" si="64"/>
        <v>0</v>
      </c>
    </row>
    <row r="1182" spans="1:9" x14ac:dyDescent="0.2">
      <c r="A1182" s="30"/>
      <c r="H1182" s="5">
        <f t="shared" si="63"/>
        <v>0</v>
      </c>
      <c r="I1182" s="5">
        <f t="shared" si="64"/>
        <v>0</v>
      </c>
    </row>
    <row r="1183" spans="1:9" x14ac:dyDescent="0.2">
      <c r="A1183" s="30"/>
      <c r="H1183" s="5">
        <f t="shared" si="63"/>
        <v>0</v>
      </c>
      <c r="I1183" s="5">
        <f t="shared" si="64"/>
        <v>0</v>
      </c>
    </row>
    <row r="1184" spans="1:9" x14ac:dyDescent="0.2">
      <c r="A1184" s="30"/>
      <c r="H1184" s="5">
        <f t="shared" si="63"/>
        <v>0</v>
      </c>
      <c r="I1184" s="5">
        <f t="shared" si="64"/>
        <v>0</v>
      </c>
    </row>
    <row r="1185" spans="1:9" x14ac:dyDescent="0.2">
      <c r="A1185" s="30"/>
      <c r="H1185" s="5">
        <f t="shared" si="63"/>
        <v>0</v>
      </c>
      <c r="I1185" s="5">
        <f t="shared" si="64"/>
        <v>0</v>
      </c>
    </row>
    <row r="1186" spans="1:9" x14ac:dyDescent="0.2">
      <c r="A1186" s="30"/>
      <c r="H1186" s="5">
        <f t="shared" si="63"/>
        <v>0</v>
      </c>
      <c r="I1186" s="5">
        <f t="shared" si="64"/>
        <v>0</v>
      </c>
    </row>
    <row r="1187" spans="1:9" x14ac:dyDescent="0.2">
      <c r="A1187" s="30"/>
      <c r="H1187" s="5">
        <f t="shared" si="63"/>
        <v>0</v>
      </c>
      <c r="I1187" s="5">
        <f t="shared" si="64"/>
        <v>0</v>
      </c>
    </row>
    <row r="1188" spans="1:9" x14ac:dyDescent="0.2">
      <c r="A1188" s="30"/>
      <c r="H1188" s="5">
        <f t="shared" si="63"/>
        <v>0</v>
      </c>
      <c r="I1188" s="5">
        <f t="shared" si="64"/>
        <v>0</v>
      </c>
    </row>
    <row r="1189" spans="1:9" x14ac:dyDescent="0.2">
      <c r="A1189" s="30"/>
      <c r="H1189" s="5">
        <f t="shared" si="63"/>
        <v>0</v>
      </c>
      <c r="I1189" s="5">
        <f t="shared" si="64"/>
        <v>0</v>
      </c>
    </row>
    <row r="1190" spans="1:9" x14ac:dyDescent="0.2">
      <c r="A1190" s="30"/>
      <c r="H1190" s="5">
        <f t="shared" si="63"/>
        <v>0</v>
      </c>
      <c r="I1190" s="5">
        <f t="shared" si="64"/>
        <v>0</v>
      </c>
    </row>
    <row r="1191" spans="1:9" x14ac:dyDescent="0.2">
      <c r="A1191" s="30"/>
      <c r="H1191" s="5">
        <f t="shared" si="63"/>
        <v>0</v>
      </c>
      <c r="I1191" s="5">
        <f t="shared" si="64"/>
        <v>0</v>
      </c>
    </row>
    <row r="1192" spans="1:9" x14ac:dyDescent="0.2">
      <c r="A1192" s="30"/>
      <c r="H1192" s="5">
        <f t="shared" si="63"/>
        <v>0</v>
      </c>
      <c r="I1192" s="5">
        <f t="shared" si="64"/>
        <v>0</v>
      </c>
    </row>
    <row r="1193" spans="1:9" x14ac:dyDescent="0.2">
      <c r="A1193" s="30"/>
      <c r="H1193" s="5">
        <f t="shared" si="63"/>
        <v>0</v>
      </c>
      <c r="I1193" s="5">
        <f t="shared" si="64"/>
        <v>0</v>
      </c>
    </row>
    <row r="1194" spans="1:9" x14ac:dyDescent="0.2">
      <c r="A1194" s="30"/>
      <c r="H1194" s="5">
        <f t="shared" si="63"/>
        <v>0</v>
      </c>
      <c r="I1194" s="5">
        <f t="shared" si="64"/>
        <v>0</v>
      </c>
    </row>
    <row r="1195" spans="1:9" x14ac:dyDescent="0.2">
      <c r="A1195" s="30"/>
      <c r="H1195" s="5">
        <f t="shared" si="63"/>
        <v>0</v>
      </c>
      <c r="I1195" s="5">
        <f t="shared" si="64"/>
        <v>0</v>
      </c>
    </row>
    <row r="1196" spans="1:9" x14ac:dyDescent="0.2">
      <c r="A1196" s="30"/>
      <c r="H1196" s="5">
        <f t="shared" si="63"/>
        <v>0</v>
      </c>
      <c r="I1196" s="5">
        <f t="shared" si="64"/>
        <v>0</v>
      </c>
    </row>
    <row r="1197" spans="1:9" x14ac:dyDescent="0.2">
      <c r="A1197" s="30"/>
      <c r="H1197" s="5">
        <f t="shared" si="63"/>
        <v>0</v>
      </c>
      <c r="I1197" s="5">
        <f t="shared" si="64"/>
        <v>0</v>
      </c>
    </row>
    <row r="1198" spans="1:9" x14ac:dyDescent="0.2">
      <c r="A1198" s="30"/>
      <c r="H1198" s="5">
        <f t="shared" si="63"/>
        <v>0</v>
      </c>
      <c r="I1198" s="5">
        <f t="shared" si="64"/>
        <v>0</v>
      </c>
    </row>
    <row r="1199" spans="1:9" x14ac:dyDescent="0.2">
      <c r="A1199" s="30"/>
      <c r="H1199" s="5">
        <f t="shared" si="63"/>
        <v>0</v>
      </c>
      <c r="I1199" s="5">
        <f t="shared" si="64"/>
        <v>0</v>
      </c>
    </row>
    <row r="1200" spans="1:9" x14ac:dyDescent="0.2">
      <c r="A1200" s="30"/>
      <c r="H1200" s="5">
        <f t="shared" si="63"/>
        <v>0</v>
      </c>
      <c r="I1200" s="5">
        <f t="shared" si="64"/>
        <v>0</v>
      </c>
    </row>
    <row r="1201" spans="1:9" x14ac:dyDescent="0.2">
      <c r="A1201" s="30"/>
      <c r="H1201" s="5">
        <f t="shared" si="63"/>
        <v>0</v>
      </c>
      <c r="I1201" s="5">
        <f t="shared" si="64"/>
        <v>0</v>
      </c>
    </row>
    <row r="1202" spans="1:9" x14ac:dyDescent="0.2">
      <c r="A1202" s="30"/>
      <c r="H1202" s="5">
        <f t="shared" si="63"/>
        <v>0</v>
      </c>
      <c r="I1202" s="5">
        <f t="shared" si="64"/>
        <v>0</v>
      </c>
    </row>
    <row r="1203" spans="1:9" x14ac:dyDescent="0.2">
      <c r="A1203" s="30"/>
      <c r="H1203" s="5">
        <f t="shared" si="63"/>
        <v>0</v>
      </c>
      <c r="I1203" s="5">
        <f t="shared" si="64"/>
        <v>0</v>
      </c>
    </row>
    <row r="1204" spans="1:9" x14ac:dyDescent="0.2">
      <c r="A1204" s="30"/>
      <c r="H1204" s="5">
        <f t="shared" si="63"/>
        <v>0</v>
      </c>
      <c r="I1204" s="5">
        <f t="shared" si="64"/>
        <v>0</v>
      </c>
    </row>
    <row r="1205" spans="1:9" x14ac:dyDescent="0.2">
      <c r="A1205" s="30"/>
      <c r="H1205" s="5">
        <f t="shared" si="63"/>
        <v>0</v>
      </c>
      <c r="I1205" s="5">
        <f t="shared" si="64"/>
        <v>0</v>
      </c>
    </row>
    <row r="1206" spans="1:9" x14ac:dyDescent="0.2">
      <c r="A1206" s="30"/>
      <c r="H1206" s="5">
        <f t="shared" si="63"/>
        <v>0</v>
      </c>
      <c r="I1206" s="5">
        <f t="shared" si="64"/>
        <v>0</v>
      </c>
    </row>
    <row r="1207" spans="1:9" x14ac:dyDescent="0.2">
      <c r="A1207" s="30"/>
      <c r="H1207" s="5">
        <f t="shared" si="63"/>
        <v>0</v>
      </c>
      <c r="I1207" s="5">
        <f t="shared" si="64"/>
        <v>0</v>
      </c>
    </row>
    <row r="1208" spans="1:9" x14ac:dyDescent="0.2">
      <c r="A1208" s="30"/>
      <c r="H1208" s="5">
        <f t="shared" si="63"/>
        <v>0</v>
      </c>
      <c r="I1208" s="5">
        <f t="shared" si="64"/>
        <v>0</v>
      </c>
    </row>
    <row r="1209" spans="1:9" x14ac:dyDescent="0.2">
      <c r="A1209" s="30"/>
      <c r="H1209" s="5">
        <f t="shared" si="63"/>
        <v>0</v>
      </c>
      <c r="I1209" s="5">
        <f t="shared" si="64"/>
        <v>0</v>
      </c>
    </row>
    <row r="1210" spans="1:9" x14ac:dyDescent="0.2">
      <c r="A1210" s="30"/>
      <c r="H1210" s="5">
        <f t="shared" si="63"/>
        <v>0</v>
      </c>
      <c r="I1210" s="5">
        <f t="shared" si="64"/>
        <v>0</v>
      </c>
    </row>
    <row r="1211" spans="1:9" x14ac:dyDescent="0.2">
      <c r="A1211" s="30"/>
      <c r="H1211" s="5">
        <f t="shared" si="63"/>
        <v>0</v>
      </c>
      <c r="I1211" s="5">
        <f t="shared" si="64"/>
        <v>0</v>
      </c>
    </row>
    <row r="1212" spans="1:9" x14ac:dyDescent="0.2">
      <c r="A1212" s="30"/>
      <c r="H1212" s="5">
        <f t="shared" si="63"/>
        <v>0</v>
      </c>
      <c r="I1212" s="5">
        <f t="shared" si="64"/>
        <v>0</v>
      </c>
    </row>
    <row r="1213" spans="1:9" x14ac:dyDescent="0.2">
      <c r="A1213" s="30"/>
      <c r="H1213" s="5">
        <f t="shared" si="63"/>
        <v>0</v>
      </c>
      <c r="I1213" s="5">
        <f t="shared" si="64"/>
        <v>0</v>
      </c>
    </row>
    <row r="1214" spans="1:9" x14ac:dyDescent="0.2">
      <c r="A1214" s="30"/>
      <c r="H1214" s="5">
        <f t="shared" si="63"/>
        <v>0</v>
      </c>
      <c r="I1214" s="5">
        <f t="shared" si="64"/>
        <v>0</v>
      </c>
    </row>
    <row r="1215" spans="1:9" x14ac:dyDescent="0.2">
      <c r="A1215" s="30"/>
      <c r="H1215" s="5">
        <f t="shared" si="63"/>
        <v>0</v>
      </c>
      <c r="I1215" s="5">
        <f t="shared" si="64"/>
        <v>0</v>
      </c>
    </row>
    <row r="1216" spans="1:9" x14ac:dyDescent="0.2">
      <c r="A1216" s="30"/>
      <c r="H1216" s="5">
        <f t="shared" ref="H1216:H1279" si="65">+G1216-E1216</f>
        <v>0</v>
      </c>
      <c r="I1216" s="5">
        <f t="shared" ref="I1216:I1279" si="66">G1216-F1216</f>
        <v>0</v>
      </c>
    </row>
    <row r="1217" spans="1:9" x14ac:dyDescent="0.2">
      <c r="A1217" s="30"/>
      <c r="H1217" s="5">
        <f t="shared" si="65"/>
        <v>0</v>
      </c>
      <c r="I1217" s="5">
        <f t="shared" si="66"/>
        <v>0</v>
      </c>
    </row>
    <row r="1218" spans="1:9" x14ac:dyDescent="0.2">
      <c r="A1218" s="30"/>
      <c r="H1218" s="5">
        <f t="shared" si="65"/>
        <v>0</v>
      </c>
      <c r="I1218" s="5">
        <f t="shared" si="66"/>
        <v>0</v>
      </c>
    </row>
    <row r="1219" spans="1:9" x14ac:dyDescent="0.2">
      <c r="A1219" s="30"/>
      <c r="H1219" s="5">
        <f t="shared" si="65"/>
        <v>0</v>
      </c>
      <c r="I1219" s="5">
        <f t="shared" si="66"/>
        <v>0</v>
      </c>
    </row>
    <row r="1220" spans="1:9" x14ac:dyDescent="0.2">
      <c r="A1220" s="30"/>
      <c r="H1220" s="5">
        <f t="shared" si="65"/>
        <v>0</v>
      </c>
      <c r="I1220" s="5">
        <f t="shared" si="66"/>
        <v>0</v>
      </c>
    </row>
    <row r="1221" spans="1:9" x14ac:dyDescent="0.2">
      <c r="A1221" s="30"/>
      <c r="H1221" s="5">
        <f t="shared" si="65"/>
        <v>0</v>
      </c>
      <c r="I1221" s="5">
        <f t="shared" si="66"/>
        <v>0</v>
      </c>
    </row>
    <row r="1222" spans="1:9" x14ac:dyDescent="0.2">
      <c r="A1222" s="30"/>
      <c r="H1222" s="5">
        <f t="shared" si="65"/>
        <v>0</v>
      </c>
      <c r="I1222" s="5">
        <f t="shared" si="66"/>
        <v>0</v>
      </c>
    </row>
    <row r="1223" spans="1:9" x14ac:dyDescent="0.2">
      <c r="A1223" s="30"/>
      <c r="H1223" s="5">
        <f t="shared" si="65"/>
        <v>0</v>
      </c>
      <c r="I1223" s="5">
        <f t="shared" si="66"/>
        <v>0</v>
      </c>
    </row>
    <row r="1224" spans="1:9" x14ac:dyDescent="0.2">
      <c r="A1224" s="30"/>
      <c r="H1224" s="5">
        <f t="shared" si="65"/>
        <v>0</v>
      </c>
      <c r="I1224" s="5">
        <f t="shared" si="66"/>
        <v>0</v>
      </c>
    </row>
    <row r="1225" spans="1:9" x14ac:dyDescent="0.2">
      <c r="A1225" s="30"/>
      <c r="H1225" s="5">
        <f t="shared" si="65"/>
        <v>0</v>
      </c>
      <c r="I1225" s="5">
        <f t="shared" si="66"/>
        <v>0</v>
      </c>
    </row>
    <row r="1226" spans="1:9" x14ac:dyDescent="0.2">
      <c r="A1226" s="30"/>
      <c r="H1226" s="5">
        <f t="shared" si="65"/>
        <v>0</v>
      </c>
      <c r="I1226" s="5">
        <f t="shared" si="66"/>
        <v>0</v>
      </c>
    </row>
    <row r="1227" spans="1:9" x14ac:dyDescent="0.2">
      <c r="A1227" s="30"/>
      <c r="H1227" s="5">
        <f t="shared" si="65"/>
        <v>0</v>
      </c>
      <c r="I1227" s="5">
        <f t="shared" si="66"/>
        <v>0</v>
      </c>
    </row>
    <row r="1228" spans="1:9" x14ac:dyDescent="0.2">
      <c r="A1228" s="30"/>
      <c r="H1228" s="5">
        <f t="shared" si="65"/>
        <v>0</v>
      </c>
      <c r="I1228" s="5">
        <f t="shared" si="66"/>
        <v>0</v>
      </c>
    </row>
    <row r="1229" spans="1:9" x14ac:dyDescent="0.2">
      <c r="A1229" s="30"/>
      <c r="H1229" s="5">
        <f t="shared" si="65"/>
        <v>0</v>
      </c>
      <c r="I1229" s="5">
        <f t="shared" si="66"/>
        <v>0</v>
      </c>
    </row>
    <row r="1230" spans="1:9" x14ac:dyDescent="0.2">
      <c r="A1230" s="30"/>
      <c r="H1230" s="5">
        <f t="shared" si="65"/>
        <v>0</v>
      </c>
      <c r="I1230" s="5">
        <f t="shared" si="66"/>
        <v>0</v>
      </c>
    </row>
    <row r="1231" spans="1:9" x14ac:dyDescent="0.2">
      <c r="A1231" s="30"/>
      <c r="H1231" s="5">
        <f t="shared" si="65"/>
        <v>0</v>
      </c>
      <c r="I1231" s="5">
        <f t="shared" si="66"/>
        <v>0</v>
      </c>
    </row>
    <row r="1232" spans="1:9" x14ac:dyDescent="0.2">
      <c r="A1232" s="30"/>
      <c r="H1232" s="5">
        <f t="shared" si="65"/>
        <v>0</v>
      </c>
      <c r="I1232" s="5">
        <f t="shared" si="66"/>
        <v>0</v>
      </c>
    </row>
    <row r="1233" spans="1:9" x14ac:dyDescent="0.2">
      <c r="A1233" s="30"/>
      <c r="H1233" s="5">
        <f t="shared" si="65"/>
        <v>0</v>
      </c>
      <c r="I1233" s="5">
        <f t="shared" si="66"/>
        <v>0</v>
      </c>
    </row>
    <row r="1234" spans="1:9" x14ac:dyDescent="0.2">
      <c r="A1234" s="30"/>
      <c r="H1234" s="5">
        <f t="shared" si="65"/>
        <v>0</v>
      </c>
      <c r="I1234" s="5">
        <f t="shared" si="66"/>
        <v>0</v>
      </c>
    </row>
    <row r="1235" spans="1:9" x14ac:dyDescent="0.2">
      <c r="A1235" s="30"/>
      <c r="H1235" s="5">
        <f t="shared" si="65"/>
        <v>0</v>
      </c>
      <c r="I1235" s="5">
        <f t="shared" si="66"/>
        <v>0</v>
      </c>
    </row>
    <row r="1236" spans="1:9" x14ac:dyDescent="0.2">
      <c r="A1236" s="30"/>
      <c r="H1236" s="5">
        <f t="shared" si="65"/>
        <v>0</v>
      </c>
      <c r="I1236" s="5">
        <f t="shared" si="66"/>
        <v>0</v>
      </c>
    </row>
    <row r="1237" spans="1:9" x14ac:dyDescent="0.2">
      <c r="A1237" s="30"/>
      <c r="H1237" s="5">
        <f t="shared" si="65"/>
        <v>0</v>
      </c>
      <c r="I1237" s="5">
        <f t="shared" si="66"/>
        <v>0</v>
      </c>
    </row>
    <row r="1238" spans="1:9" x14ac:dyDescent="0.2">
      <c r="A1238" s="30"/>
      <c r="H1238" s="5">
        <f t="shared" si="65"/>
        <v>0</v>
      </c>
      <c r="I1238" s="5">
        <f t="shared" si="66"/>
        <v>0</v>
      </c>
    </row>
    <row r="1239" spans="1:9" x14ac:dyDescent="0.2">
      <c r="A1239" s="30"/>
      <c r="H1239" s="5">
        <f t="shared" si="65"/>
        <v>0</v>
      </c>
      <c r="I1239" s="5">
        <f t="shared" si="66"/>
        <v>0</v>
      </c>
    </row>
    <row r="1240" spans="1:9" x14ac:dyDescent="0.2">
      <c r="A1240" s="30"/>
      <c r="H1240" s="5">
        <f t="shared" si="65"/>
        <v>0</v>
      </c>
      <c r="I1240" s="5">
        <f t="shared" si="66"/>
        <v>0</v>
      </c>
    </row>
    <row r="1241" spans="1:9" x14ac:dyDescent="0.2">
      <c r="A1241" s="30"/>
      <c r="H1241" s="5">
        <f t="shared" si="65"/>
        <v>0</v>
      </c>
      <c r="I1241" s="5">
        <f t="shared" si="66"/>
        <v>0</v>
      </c>
    </row>
    <row r="1242" spans="1:9" x14ac:dyDescent="0.2">
      <c r="A1242" s="30"/>
      <c r="H1242" s="5">
        <f t="shared" si="65"/>
        <v>0</v>
      </c>
      <c r="I1242" s="5">
        <f t="shared" si="66"/>
        <v>0</v>
      </c>
    </row>
    <row r="1243" spans="1:9" x14ac:dyDescent="0.2">
      <c r="A1243" s="30"/>
      <c r="H1243" s="5">
        <f t="shared" si="65"/>
        <v>0</v>
      </c>
      <c r="I1243" s="5">
        <f t="shared" si="66"/>
        <v>0</v>
      </c>
    </row>
    <row r="1244" spans="1:9" x14ac:dyDescent="0.2">
      <c r="A1244" s="30"/>
      <c r="H1244" s="5">
        <f t="shared" si="65"/>
        <v>0</v>
      </c>
      <c r="I1244" s="5">
        <f t="shared" si="66"/>
        <v>0</v>
      </c>
    </row>
    <row r="1245" spans="1:9" x14ac:dyDescent="0.2">
      <c r="A1245" s="30"/>
      <c r="H1245" s="5">
        <f t="shared" si="65"/>
        <v>0</v>
      </c>
      <c r="I1245" s="5">
        <f t="shared" si="66"/>
        <v>0</v>
      </c>
    </row>
    <row r="1246" spans="1:9" x14ac:dyDescent="0.2">
      <c r="A1246" s="30"/>
      <c r="H1246" s="5">
        <f t="shared" si="65"/>
        <v>0</v>
      </c>
      <c r="I1246" s="5">
        <f t="shared" si="66"/>
        <v>0</v>
      </c>
    </row>
    <row r="1247" spans="1:9" x14ac:dyDescent="0.2">
      <c r="A1247" s="30"/>
      <c r="H1247" s="5">
        <f t="shared" si="65"/>
        <v>0</v>
      </c>
      <c r="I1247" s="5">
        <f t="shared" si="66"/>
        <v>0</v>
      </c>
    </row>
    <row r="1248" spans="1:9" x14ac:dyDescent="0.2">
      <c r="A1248" s="30"/>
      <c r="H1248" s="5">
        <f t="shared" si="65"/>
        <v>0</v>
      </c>
      <c r="I1248" s="5">
        <f t="shared" si="66"/>
        <v>0</v>
      </c>
    </row>
    <row r="1249" spans="1:9" x14ac:dyDescent="0.2">
      <c r="A1249" s="30"/>
      <c r="H1249" s="5">
        <f t="shared" si="65"/>
        <v>0</v>
      </c>
      <c r="I1249" s="5">
        <f t="shared" si="66"/>
        <v>0</v>
      </c>
    </row>
    <row r="1250" spans="1:9" x14ac:dyDescent="0.2">
      <c r="A1250" s="30"/>
      <c r="H1250" s="5">
        <f t="shared" si="65"/>
        <v>0</v>
      </c>
      <c r="I1250" s="5">
        <f t="shared" si="66"/>
        <v>0</v>
      </c>
    </row>
    <row r="1251" spans="1:9" x14ac:dyDescent="0.2">
      <c r="A1251" s="30"/>
      <c r="H1251" s="5">
        <f t="shared" si="65"/>
        <v>0</v>
      </c>
      <c r="I1251" s="5">
        <f t="shared" si="66"/>
        <v>0</v>
      </c>
    </row>
    <row r="1252" spans="1:9" x14ac:dyDescent="0.2">
      <c r="A1252" s="30"/>
      <c r="H1252" s="5">
        <f t="shared" si="65"/>
        <v>0</v>
      </c>
      <c r="I1252" s="5">
        <f t="shared" si="66"/>
        <v>0</v>
      </c>
    </row>
    <row r="1253" spans="1:9" x14ac:dyDescent="0.2">
      <c r="A1253" s="30"/>
      <c r="H1253" s="5">
        <f t="shared" si="65"/>
        <v>0</v>
      </c>
      <c r="I1253" s="5">
        <f t="shared" si="66"/>
        <v>0</v>
      </c>
    </row>
    <row r="1254" spans="1:9" x14ac:dyDescent="0.2">
      <c r="A1254" s="30"/>
      <c r="H1254" s="5">
        <f t="shared" si="65"/>
        <v>0</v>
      </c>
      <c r="I1254" s="5">
        <f t="shared" si="66"/>
        <v>0</v>
      </c>
    </row>
    <row r="1255" spans="1:9" x14ac:dyDescent="0.2">
      <c r="A1255" s="30"/>
      <c r="H1255" s="5">
        <f t="shared" si="65"/>
        <v>0</v>
      </c>
      <c r="I1255" s="5">
        <f t="shared" si="66"/>
        <v>0</v>
      </c>
    </row>
    <row r="1256" spans="1:9" x14ac:dyDescent="0.2">
      <c r="A1256" s="30"/>
      <c r="H1256" s="5">
        <f t="shared" si="65"/>
        <v>0</v>
      </c>
      <c r="I1256" s="5">
        <f t="shared" si="66"/>
        <v>0</v>
      </c>
    </row>
    <row r="1257" spans="1:9" x14ac:dyDescent="0.2">
      <c r="A1257" s="30"/>
      <c r="H1257" s="5">
        <f t="shared" si="65"/>
        <v>0</v>
      </c>
      <c r="I1257" s="5">
        <f t="shared" si="66"/>
        <v>0</v>
      </c>
    </row>
    <row r="1258" spans="1:9" x14ac:dyDescent="0.2">
      <c r="A1258" s="30"/>
      <c r="H1258" s="5">
        <f t="shared" si="65"/>
        <v>0</v>
      </c>
      <c r="I1258" s="5">
        <f t="shared" si="66"/>
        <v>0</v>
      </c>
    </row>
    <row r="1259" spans="1:9" x14ac:dyDescent="0.2">
      <c r="A1259" s="30"/>
      <c r="H1259" s="5">
        <f t="shared" si="65"/>
        <v>0</v>
      </c>
      <c r="I1259" s="5">
        <f t="shared" si="66"/>
        <v>0</v>
      </c>
    </row>
    <row r="1260" spans="1:9" x14ac:dyDescent="0.2">
      <c r="A1260" s="30"/>
      <c r="H1260" s="5">
        <f t="shared" si="65"/>
        <v>0</v>
      </c>
      <c r="I1260" s="5">
        <f t="shared" si="66"/>
        <v>0</v>
      </c>
    </row>
    <row r="1261" spans="1:9" x14ac:dyDescent="0.2">
      <c r="A1261" s="30"/>
      <c r="H1261" s="5">
        <f t="shared" si="65"/>
        <v>0</v>
      </c>
      <c r="I1261" s="5">
        <f t="shared" si="66"/>
        <v>0</v>
      </c>
    </row>
    <row r="1262" spans="1:9" x14ac:dyDescent="0.2">
      <c r="A1262" s="30"/>
      <c r="H1262" s="5">
        <f t="shared" si="65"/>
        <v>0</v>
      </c>
      <c r="I1262" s="5">
        <f t="shared" si="66"/>
        <v>0</v>
      </c>
    </row>
    <row r="1263" spans="1:9" x14ac:dyDescent="0.2">
      <c r="A1263" s="30"/>
      <c r="H1263" s="5">
        <f t="shared" si="65"/>
        <v>0</v>
      </c>
      <c r="I1263" s="5">
        <f t="shared" si="66"/>
        <v>0</v>
      </c>
    </row>
    <row r="1264" spans="1:9" x14ac:dyDescent="0.2">
      <c r="A1264" s="30"/>
      <c r="H1264" s="5">
        <f t="shared" si="65"/>
        <v>0</v>
      </c>
      <c r="I1264" s="5">
        <f t="shared" si="66"/>
        <v>0</v>
      </c>
    </row>
    <row r="1265" spans="1:9" x14ac:dyDescent="0.2">
      <c r="A1265" s="30"/>
      <c r="H1265" s="5">
        <f t="shared" si="65"/>
        <v>0</v>
      </c>
      <c r="I1265" s="5">
        <f t="shared" si="66"/>
        <v>0</v>
      </c>
    </row>
    <row r="1266" spans="1:9" x14ac:dyDescent="0.2">
      <c r="A1266" s="30"/>
      <c r="H1266" s="5">
        <f t="shared" si="65"/>
        <v>0</v>
      </c>
      <c r="I1266" s="5">
        <f t="shared" si="66"/>
        <v>0</v>
      </c>
    </row>
    <row r="1267" spans="1:9" x14ac:dyDescent="0.2">
      <c r="A1267" s="30"/>
      <c r="H1267" s="5">
        <f t="shared" si="65"/>
        <v>0</v>
      </c>
      <c r="I1267" s="5">
        <f t="shared" si="66"/>
        <v>0</v>
      </c>
    </row>
    <row r="1268" spans="1:9" x14ac:dyDescent="0.2">
      <c r="A1268" s="30"/>
      <c r="H1268" s="5">
        <f t="shared" si="65"/>
        <v>0</v>
      </c>
      <c r="I1268" s="5">
        <f t="shared" si="66"/>
        <v>0</v>
      </c>
    </row>
    <row r="1269" spans="1:9" x14ac:dyDescent="0.2">
      <c r="A1269" s="30"/>
      <c r="H1269" s="5">
        <f t="shared" si="65"/>
        <v>0</v>
      </c>
      <c r="I1269" s="5">
        <f t="shared" si="66"/>
        <v>0</v>
      </c>
    </row>
    <row r="1270" spans="1:9" x14ac:dyDescent="0.2">
      <c r="A1270" s="30"/>
      <c r="H1270" s="5">
        <f t="shared" si="65"/>
        <v>0</v>
      </c>
      <c r="I1270" s="5">
        <f t="shared" si="66"/>
        <v>0</v>
      </c>
    </row>
    <row r="1271" spans="1:9" x14ac:dyDescent="0.2">
      <c r="A1271" s="30"/>
      <c r="H1271" s="5">
        <f t="shared" si="65"/>
        <v>0</v>
      </c>
      <c r="I1271" s="5">
        <f t="shared" si="66"/>
        <v>0</v>
      </c>
    </row>
    <row r="1272" spans="1:9" x14ac:dyDescent="0.2">
      <c r="A1272" s="30"/>
      <c r="H1272" s="5">
        <f t="shared" si="65"/>
        <v>0</v>
      </c>
      <c r="I1272" s="5">
        <f t="shared" si="66"/>
        <v>0</v>
      </c>
    </row>
    <row r="1273" spans="1:9" x14ac:dyDescent="0.2">
      <c r="A1273" s="30"/>
      <c r="H1273" s="5">
        <f t="shared" si="65"/>
        <v>0</v>
      </c>
      <c r="I1273" s="5">
        <f t="shared" si="66"/>
        <v>0</v>
      </c>
    </row>
    <row r="1274" spans="1:9" x14ac:dyDescent="0.2">
      <c r="A1274" s="30"/>
      <c r="H1274" s="5">
        <f t="shared" si="65"/>
        <v>0</v>
      </c>
      <c r="I1274" s="5">
        <f t="shared" si="66"/>
        <v>0</v>
      </c>
    </row>
    <row r="1275" spans="1:9" x14ac:dyDescent="0.2">
      <c r="A1275" s="30"/>
      <c r="H1275" s="5">
        <f t="shared" si="65"/>
        <v>0</v>
      </c>
      <c r="I1275" s="5">
        <f t="shared" si="66"/>
        <v>0</v>
      </c>
    </row>
    <row r="1276" spans="1:9" x14ac:dyDescent="0.2">
      <c r="A1276" s="30"/>
      <c r="H1276" s="5">
        <f t="shared" si="65"/>
        <v>0</v>
      </c>
      <c r="I1276" s="5">
        <f t="shared" si="66"/>
        <v>0</v>
      </c>
    </row>
    <row r="1277" spans="1:9" x14ac:dyDescent="0.2">
      <c r="A1277" s="30"/>
      <c r="H1277" s="5">
        <f t="shared" si="65"/>
        <v>0</v>
      </c>
      <c r="I1277" s="5">
        <f t="shared" si="66"/>
        <v>0</v>
      </c>
    </row>
    <row r="1278" spans="1:9" x14ac:dyDescent="0.2">
      <c r="A1278" s="30"/>
      <c r="H1278" s="5">
        <f t="shared" si="65"/>
        <v>0</v>
      </c>
      <c r="I1278" s="5">
        <f t="shared" si="66"/>
        <v>0</v>
      </c>
    </row>
    <row r="1279" spans="1:9" x14ac:dyDescent="0.2">
      <c r="A1279" s="30"/>
      <c r="H1279" s="5">
        <f t="shared" si="65"/>
        <v>0</v>
      </c>
      <c r="I1279" s="5">
        <f t="shared" si="66"/>
        <v>0</v>
      </c>
    </row>
    <row r="1280" spans="1:9" x14ac:dyDescent="0.2">
      <c r="A1280" s="30"/>
      <c r="H1280" s="5">
        <f t="shared" ref="H1280:H1343" si="67">+G1280-E1280</f>
        <v>0</v>
      </c>
      <c r="I1280" s="5">
        <f t="shared" ref="I1280:I1343" si="68">G1280-F1280</f>
        <v>0</v>
      </c>
    </row>
    <row r="1281" spans="1:9" x14ac:dyDescent="0.2">
      <c r="A1281" s="30"/>
      <c r="H1281" s="5">
        <f t="shared" si="67"/>
        <v>0</v>
      </c>
      <c r="I1281" s="5">
        <f t="shared" si="68"/>
        <v>0</v>
      </c>
    </row>
    <row r="1282" spans="1:9" x14ac:dyDescent="0.2">
      <c r="A1282" s="30"/>
      <c r="H1282" s="5">
        <f t="shared" si="67"/>
        <v>0</v>
      </c>
      <c r="I1282" s="5">
        <f t="shared" si="68"/>
        <v>0</v>
      </c>
    </row>
    <row r="1283" spans="1:9" x14ac:dyDescent="0.2">
      <c r="A1283" s="30"/>
      <c r="H1283" s="5">
        <f t="shared" si="67"/>
        <v>0</v>
      </c>
      <c r="I1283" s="5">
        <f t="shared" si="68"/>
        <v>0</v>
      </c>
    </row>
    <row r="1284" spans="1:9" x14ac:dyDescent="0.2">
      <c r="A1284" s="30"/>
      <c r="H1284" s="5">
        <f t="shared" si="67"/>
        <v>0</v>
      </c>
      <c r="I1284" s="5">
        <f t="shared" si="68"/>
        <v>0</v>
      </c>
    </row>
    <row r="1285" spans="1:9" x14ac:dyDescent="0.2">
      <c r="A1285" s="30"/>
      <c r="H1285" s="5">
        <f t="shared" si="67"/>
        <v>0</v>
      </c>
      <c r="I1285" s="5">
        <f t="shared" si="68"/>
        <v>0</v>
      </c>
    </row>
    <row r="1286" spans="1:9" x14ac:dyDescent="0.2">
      <c r="A1286" s="30"/>
      <c r="H1286" s="5">
        <f t="shared" si="67"/>
        <v>0</v>
      </c>
      <c r="I1286" s="5">
        <f t="shared" si="68"/>
        <v>0</v>
      </c>
    </row>
    <row r="1287" spans="1:9" x14ac:dyDescent="0.2">
      <c r="A1287" s="30"/>
      <c r="H1287" s="5">
        <f t="shared" si="67"/>
        <v>0</v>
      </c>
      <c r="I1287" s="5">
        <f t="shared" si="68"/>
        <v>0</v>
      </c>
    </row>
    <row r="1288" spans="1:9" x14ac:dyDescent="0.2">
      <c r="A1288" s="30"/>
      <c r="H1288" s="5">
        <f t="shared" si="67"/>
        <v>0</v>
      </c>
      <c r="I1288" s="5">
        <f t="shared" si="68"/>
        <v>0</v>
      </c>
    </row>
    <row r="1289" spans="1:9" x14ac:dyDescent="0.2">
      <c r="A1289" s="30"/>
      <c r="H1289" s="5">
        <f t="shared" si="67"/>
        <v>0</v>
      </c>
      <c r="I1289" s="5">
        <f t="shared" si="68"/>
        <v>0</v>
      </c>
    </row>
    <row r="1290" spans="1:9" x14ac:dyDescent="0.2">
      <c r="A1290" s="30"/>
      <c r="H1290" s="5">
        <f t="shared" si="67"/>
        <v>0</v>
      </c>
      <c r="I1290" s="5">
        <f t="shared" si="68"/>
        <v>0</v>
      </c>
    </row>
    <row r="1291" spans="1:9" x14ac:dyDescent="0.2">
      <c r="A1291" s="30"/>
      <c r="H1291" s="5">
        <f t="shared" si="67"/>
        <v>0</v>
      </c>
      <c r="I1291" s="5">
        <f t="shared" si="68"/>
        <v>0</v>
      </c>
    </row>
    <row r="1292" spans="1:9" x14ac:dyDescent="0.2">
      <c r="A1292" s="30"/>
      <c r="H1292" s="5">
        <f t="shared" si="67"/>
        <v>0</v>
      </c>
      <c r="I1292" s="5">
        <f t="shared" si="68"/>
        <v>0</v>
      </c>
    </row>
    <row r="1293" spans="1:9" x14ac:dyDescent="0.2">
      <c r="A1293" s="30"/>
      <c r="H1293" s="5">
        <f t="shared" si="67"/>
        <v>0</v>
      </c>
      <c r="I1293" s="5">
        <f t="shared" si="68"/>
        <v>0</v>
      </c>
    </row>
    <row r="1294" spans="1:9" x14ac:dyDescent="0.2">
      <c r="A1294" s="30"/>
      <c r="H1294" s="5">
        <f t="shared" si="67"/>
        <v>0</v>
      </c>
      <c r="I1294" s="5">
        <f t="shared" si="68"/>
        <v>0</v>
      </c>
    </row>
    <row r="1295" spans="1:9" x14ac:dyDescent="0.2">
      <c r="A1295" s="30"/>
      <c r="H1295" s="5">
        <f t="shared" si="67"/>
        <v>0</v>
      </c>
      <c r="I1295" s="5">
        <f t="shared" si="68"/>
        <v>0</v>
      </c>
    </row>
    <row r="1296" spans="1:9" x14ac:dyDescent="0.2">
      <c r="A1296" s="30"/>
      <c r="H1296" s="5">
        <f t="shared" si="67"/>
        <v>0</v>
      </c>
      <c r="I1296" s="5">
        <f t="shared" si="68"/>
        <v>0</v>
      </c>
    </row>
    <row r="1297" spans="1:9" x14ac:dyDescent="0.2">
      <c r="A1297" s="30"/>
      <c r="H1297" s="5">
        <f t="shared" si="67"/>
        <v>0</v>
      </c>
      <c r="I1297" s="5">
        <f t="shared" si="68"/>
        <v>0</v>
      </c>
    </row>
    <row r="1298" spans="1:9" x14ac:dyDescent="0.2">
      <c r="A1298" s="30"/>
      <c r="H1298" s="5">
        <f t="shared" si="67"/>
        <v>0</v>
      </c>
      <c r="I1298" s="5">
        <f t="shared" si="68"/>
        <v>0</v>
      </c>
    </row>
    <row r="1299" spans="1:9" x14ac:dyDescent="0.2">
      <c r="A1299" s="30"/>
      <c r="H1299" s="5">
        <f t="shared" si="67"/>
        <v>0</v>
      </c>
      <c r="I1299" s="5">
        <f t="shared" si="68"/>
        <v>0</v>
      </c>
    </row>
    <row r="1300" spans="1:9" x14ac:dyDescent="0.2">
      <c r="A1300" s="30"/>
      <c r="H1300" s="5">
        <f t="shared" si="67"/>
        <v>0</v>
      </c>
      <c r="I1300" s="5">
        <f t="shared" si="68"/>
        <v>0</v>
      </c>
    </row>
    <row r="1301" spans="1:9" x14ac:dyDescent="0.2">
      <c r="A1301" s="30"/>
      <c r="H1301" s="5">
        <f t="shared" si="67"/>
        <v>0</v>
      </c>
      <c r="I1301" s="5">
        <f t="shared" si="68"/>
        <v>0</v>
      </c>
    </row>
    <row r="1302" spans="1:9" x14ac:dyDescent="0.2">
      <c r="A1302" s="30"/>
      <c r="H1302" s="5">
        <f t="shared" si="67"/>
        <v>0</v>
      </c>
      <c r="I1302" s="5">
        <f t="shared" si="68"/>
        <v>0</v>
      </c>
    </row>
    <row r="1303" spans="1:9" x14ac:dyDescent="0.2">
      <c r="A1303" s="30"/>
      <c r="H1303" s="5">
        <f t="shared" si="67"/>
        <v>0</v>
      </c>
      <c r="I1303" s="5">
        <f t="shared" si="68"/>
        <v>0</v>
      </c>
    </row>
    <row r="1304" spans="1:9" x14ac:dyDescent="0.2">
      <c r="A1304" s="30"/>
      <c r="H1304" s="5">
        <f t="shared" si="67"/>
        <v>0</v>
      </c>
      <c r="I1304" s="5">
        <f t="shared" si="68"/>
        <v>0</v>
      </c>
    </row>
    <row r="1305" spans="1:9" x14ac:dyDescent="0.2">
      <c r="A1305" s="30"/>
      <c r="H1305" s="5">
        <f t="shared" si="67"/>
        <v>0</v>
      </c>
      <c r="I1305" s="5">
        <f t="shared" si="68"/>
        <v>0</v>
      </c>
    </row>
    <row r="1306" spans="1:9" x14ac:dyDescent="0.2">
      <c r="A1306" s="30"/>
      <c r="H1306" s="5">
        <f t="shared" si="67"/>
        <v>0</v>
      </c>
      <c r="I1306" s="5">
        <f t="shared" si="68"/>
        <v>0</v>
      </c>
    </row>
    <row r="1307" spans="1:9" x14ac:dyDescent="0.2">
      <c r="A1307" s="30"/>
      <c r="H1307" s="5">
        <f t="shared" si="67"/>
        <v>0</v>
      </c>
      <c r="I1307" s="5">
        <f t="shared" si="68"/>
        <v>0</v>
      </c>
    </row>
    <row r="1308" spans="1:9" x14ac:dyDescent="0.2">
      <c r="A1308" s="30"/>
      <c r="H1308" s="5">
        <f t="shared" si="67"/>
        <v>0</v>
      </c>
      <c r="I1308" s="5">
        <f t="shared" si="68"/>
        <v>0</v>
      </c>
    </row>
    <row r="1309" spans="1:9" x14ac:dyDescent="0.2">
      <c r="A1309" s="30"/>
      <c r="H1309" s="5">
        <f t="shared" si="67"/>
        <v>0</v>
      </c>
      <c r="I1309" s="5">
        <f t="shared" si="68"/>
        <v>0</v>
      </c>
    </row>
    <row r="1310" spans="1:9" x14ac:dyDescent="0.2">
      <c r="A1310" s="30"/>
      <c r="H1310" s="5">
        <f t="shared" si="67"/>
        <v>0</v>
      </c>
      <c r="I1310" s="5">
        <f t="shared" si="68"/>
        <v>0</v>
      </c>
    </row>
    <row r="1311" spans="1:9" x14ac:dyDescent="0.2">
      <c r="A1311" s="30"/>
      <c r="H1311" s="5">
        <f t="shared" si="67"/>
        <v>0</v>
      </c>
      <c r="I1311" s="5">
        <f t="shared" si="68"/>
        <v>0</v>
      </c>
    </row>
    <row r="1312" spans="1:9" x14ac:dyDescent="0.2">
      <c r="A1312" s="30"/>
      <c r="H1312" s="5">
        <f t="shared" si="67"/>
        <v>0</v>
      </c>
      <c r="I1312" s="5">
        <f t="shared" si="68"/>
        <v>0</v>
      </c>
    </row>
    <row r="1313" spans="1:9" x14ac:dyDescent="0.2">
      <c r="A1313" s="30"/>
      <c r="H1313" s="5">
        <f t="shared" si="67"/>
        <v>0</v>
      </c>
      <c r="I1313" s="5">
        <f t="shared" si="68"/>
        <v>0</v>
      </c>
    </row>
    <row r="1314" spans="1:9" x14ac:dyDescent="0.2">
      <c r="A1314" s="30"/>
      <c r="H1314" s="5">
        <f t="shared" si="67"/>
        <v>0</v>
      </c>
      <c r="I1314" s="5">
        <f t="shared" si="68"/>
        <v>0</v>
      </c>
    </row>
    <row r="1315" spans="1:9" x14ac:dyDescent="0.2">
      <c r="A1315" s="30"/>
      <c r="H1315" s="5">
        <f t="shared" si="67"/>
        <v>0</v>
      </c>
      <c r="I1315" s="5">
        <f t="shared" si="68"/>
        <v>0</v>
      </c>
    </row>
    <row r="1316" spans="1:9" x14ac:dyDescent="0.2">
      <c r="A1316" s="30"/>
      <c r="H1316" s="5">
        <f t="shared" si="67"/>
        <v>0</v>
      </c>
      <c r="I1316" s="5">
        <f t="shared" si="68"/>
        <v>0</v>
      </c>
    </row>
    <row r="1317" spans="1:9" x14ac:dyDescent="0.2">
      <c r="A1317" s="30"/>
      <c r="H1317" s="5">
        <f t="shared" si="67"/>
        <v>0</v>
      </c>
      <c r="I1317" s="5">
        <f t="shared" si="68"/>
        <v>0</v>
      </c>
    </row>
    <row r="1318" spans="1:9" x14ac:dyDescent="0.2">
      <c r="A1318" s="30"/>
      <c r="H1318" s="5">
        <f t="shared" si="67"/>
        <v>0</v>
      </c>
      <c r="I1318" s="5">
        <f t="shared" si="68"/>
        <v>0</v>
      </c>
    </row>
    <row r="1319" spans="1:9" x14ac:dyDescent="0.2">
      <c r="A1319" s="30"/>
      <c r="H1319" s="5">
        <f t="shared" si="67"/>
        <v>0</v>
      </c>
      <c r="I1319" s="5">
        <f t="shared" si="68"/>
        <v>0</v>
      </c>
    </row>
    <row r="1320" spans="1:9" x14ac:dyDescent="0.2">
      <c r="A1320" s="30"/>
      <c r="H1320" s="5">
        <f t="shared" si="67"/>
        <v>0</v>
      </c>
      <c r="I1320" s="5">
        <f t="shared" si="68"/>
        <v>0</v>
      </c>
    </row>
    <row r="1321" spans="1:9" x14ac:dyDescent="0.2">
      <c r="A1321" s="30"/>
      <c r="H1321" s="5">
        <f t="shared" si="67"/>
        <v>0</v>
      </c>
      <c r="I1321" s="5">
        <f t="shared" si="68"/>
        <v>0</v>
      </c>
    </row>
    <row r="1322" spans="1:9" x14ac:dyDescent="0.2">
      <c r="A1322" s="30"/>
      <c r="H1322" s="5">
        <f t="shared" si="67"/>
        <v>0</v>
      </c>
      <c r="I1322" s="5">
        <f t="shared" si="68"/>
        <v>0</v>
      </c>
    </row>
    <row r="1323" spans="1:9" x14ac:dyDescent="0.2">
      <c r="A1323" s="30"/>
      <c r="H1323" s="5">
        <f t="shared" si="67"/>
        <v>0</v>
      </c>
      <c r="I1323" s="5">
        <f t="shared" si="68"/>
        <v>0</v>
      </c>
    </row>
    <row r="1324" spans="1:9" x14ac:dyDescent="0.2">
      <c r="A1324" s="30"/>
      <c r="H1324" s="5">
        <f t="shared" si="67"/>
        <v>0</v>
      </c>
      <c r="I1324" s="5">
        <f t="shared" si="68"/>
        <v>0</v>
      </c>
    </row>
    <row r="1325" spans="1:9" x14ac:dyDescent="0.2">
      <c r="A1325" s="30"/>
      <c r="H1325" s="5">
        <f t="shared" si="67"/>
        <v>0</v>
      </c>
      <c r="I1325" s="5">
        <f t="shared" si="68"/>
        <v>0</v>
      </c>
    </row>
    <row r="1326" spans="1:9" x14ac:dyDescent="0.2">
      <c r="A1326" s="30"/>
      <c r="H1326" s="5">
        <f t="shared" si="67"/>
        <v>0</v>
      </c>
      <c r="I1326" s="5">
        <f t="shared" si="68"/>
        <v>0</v>
      </c>
    </row>
    <row r="1327" spans="1:9" x14ac:dyDescent="0.2">
      <c r="A1327" s="30"/>
      <c r="H1327" s="5">
        <f t="shared" si="67"/>
        <v>0</v>
      </c>
      <c r="I1327" s="5">
        <f t="shared" si="68"/>
        <v>0</v>
      </c>
    </row>
    <row r="1328" spans="1:9" x14ac:dyDescent="0.2">
      <c r="A1328" s="30"/>
      <c r="H1328" s="5">
        <f t="shared" si="67"/>
        <v>0</v>
      </c>
      <c r="I1328" s="5">
        <f t="shared" si="68"/>
        <v>0</v>
      </c>
    </row>
    <row r="1329" spans="1:9" x14ac:dyDescent="0.2">
      <c r="A1329" s="30"/>
      <c r="H1329" s="5">
        <f t="shared" si="67"/>
        <v>0</v>
      </c>
      <c r="I1329" s="5">
        <f t="shared" si="68"/>
        <v>0</v>
      </c>
    </row>
    <row r="1330" spans="1:9" x14ac:dyDescent="0.2">
      <c r="A1330" s="30"/>
      <c r="H1330" s="5">
        <f t="shared" si="67"/>
        <v>0</v>
      </c>
      <c r="I1330" s="5">
        <f t="shared" si="68"/>
        <v>0</v>
      </c>
    </row>
    <row r="1331" spans="1:9" x14ac:dyDescent="0.2">
      <c r="A1331" s="30"/>
      <c r="H1331" s="5">
        <f t="shared" si="67"/>
        <v>0</v>
      </c>
      <c r="I1331" s="5">
        <f t="shared" si="68"/>
        <v>0</v>
      </c>
    </row>
    <row r="1332" spans="1:9" x14ac:dyDescent="0.2">
      <c r="A1332" s="30"/>
      <c r="H1332" s="5">
        <f t="shared" si="67"/>
        <v>0</v>
      </c>
      <c r="I1332" s="5">
        <f t="shared" si="68"/>
        <v>0</v>
      </c>
    </row>
    <row r="1333" spans="1:9" x14ac:dyDescent="0.2">
      <c r="A1333" s="30"/>
      <c r="H1333" s="5">
        <f t="shared" si="67"/>
        <v>0</v>
      </c>
      <c r="I1333" s="5">
        <f t="shared" si="68"/>
        <v>0</v>
      </c>
    </row>
    <row r="1334" spans="1:9" x14ac:dyDescent="0.2">
      <c r="A1334" s="30"/>
      <c r="H1334" s="5">
        <f t="shared" si="67"/>
        <v>0</v>
      </c>
      <c r="I1334" s="5">
        <f t="shared" si="68"/>
        <v>0</v>
      </c>
    </row>
    <row r="1335" spans="1:9" x14ac:dyDescent="0.2">
      <c r="A1335" s="30"/>
      <c r="H1335" s="5">
        <f t="shared" si="67"/>
        <v>0</v>
      </c>
      <c r="I1335" s="5">
        <f t="shared" si="68"/>
        <v>0</v>
      </c>
    </row>
    <row r="1336" spans="1:9" x14ac:dyDescent="0.2">
      <c r="A1336" s="30"/>
      <c r="H1336" s="5">
        <f t="shared" si="67"/>
        <v>0</v>
      </c>
      <c r="I1336" s="5">
        <f t="shared" si="68"/>
        <v>0</v>
      </c>
    </row>
    <row r="1337" spans="1:9" x14ac:dyDescent="0.2">
      <c r="A1337" s="30"/>
      <c r="H1337" s="5">
        <f t="shared" si="67"/>
        <v>0</v>
      </c>
      <c r="I1337" s="5">
        <f t="shared" si="68"/>
        <v>0</v>
      </c>
    </row>
    <row r="1338" spans="1:9" x14ac:dyDescent="0.2">
      <c r="A1338" s="30"/>
      <c r="H1338" s="5">
        <f t="shared" si="67"/>
        <v>0</v>
      </c>
      <c r="I1338" s="5">
        <f t="shared" si="68"/>
        <v>0</v>
      </c>
    </row>
    <row r="1339" spans="1:9" x14ac:dyDescent="0.2">
      <c r="A1339" s="30"/>
      <c r="H1339" s="5">
        <f t="shared" si="67"/>
        <v>0</v>
      </c>
      <c r="I1339" s="5">
        <f t="shared" si="68"/>
        <v>0</v>
      </c>
    </row>
    <row r="1340" spans="1:9" x14ac:dyDescent="0.2">
      <c r="A1340" s="30"/>
      <c r="H1340" s="5">
        <f t="shared" si="67"/>
        <v>0</v>
      </c>
      <c r="I1340" s="5">
        <f t="shared" si="68"/>
        <v>0</v>
      </c>
    </row>
    <row r="1341" spans="1:9" x14ac:dyDescent="0.2">
      <c r="A1341" s="30"/>
      <c r="H1341" s="5">
        <f t="shared" si="67"/>
        <v>0</v>
      </c>
      <c r="I1341" s="5">
        <f t="shared" si="68"/>
        <v>0</v>
      </c>
    </row>
    <row r="1342" spans="1:9" x14ac:dyDescent="0.2">
      <c r="A1342" s="30"/>
      <c r="H1342" s="5">
        <f t="shared" si="67"/>
        <v>0</v>
      </c>
      <c r="I1342" s="5">
        <f t="shared" si="68"/>
        <v>0</v>
      </c>
    </row>
    <row r="1343" spans="1:9" x14ac:dyDescent="0.2">
      <c r="A1343" s="30"/>
      <c r="H1343" s="5">
        <f t="shared" si="67"/>
        <v>0</v>
      </c>
      <c r="I1343" s="5">
        <f t="shared" si="68"/>
        <v>0</v>
      </c>
    </row>
    <row r="1344" spans="1:9" x14ac:dyDescent="0.2">
      <c r="A1344" s="30"/>
      <c r="H1344" s="5">
        <f t="shared" ref="H1344:H1407" si="69">+G1344-E1344</f>
        <v>0</v>
      </c>
      <c r="I1344" s="5">
        <f t="shared" ref="I1344:I1407" si="70">G1344-F1344</f>
        <v>0</v>
      </c>
    </row>
    <row r="1345" spans="1:9" x14ac:dyDescent="0.2">
      <c r="A1345" s="30"/>
      <c r="H1345" s="5">
        <f t="shared" si="69"/>
        <v>0</v>
      </c>
      <c r="I1345" s="5">
        <f t="shared" si="70"/>
        <v>0</v>
      </c>
    </row>
    <row r="1346" spans="1:9" x14ac:dyDescent="0.2">
      <c r="A1346" s="30"/>
      <c r="H1346" s="5">
        <f t="shared" si="69"/>
        <v>0</v>
      </c>
      <c r="I1346" s="5">
        <f t="shared" si="70"/>
        <v>0</v>
      </c>
    </row>
    <row r="1347" spans="1:9" x14ac:dyDescent="0.2">
      <c r="A1347" s="30"/>
      <c r="H1347" s="5">
        <f t="shared" si="69"/>
        <v>0</v>
      </c>
      <c r="I1347" s="5">
        <f t="shared" si="70"/>
        <v>0</v>
      </c>
    </row>
    <row r="1348" spans="1:9" x14ac:dyDescent="0.2">
      <c r="A1348" s="30"/>
      <c r="H1348" s="5">
        <f t="shared" si="69"/>
        <v>0</v>
      </c>
      <c r="I1348" s="5">
        <f t="shared" si="70"/>
        <v>0</v>
      </c>
    </row>
    <row r="1349" spans="1:9" x14ac:dyDescent="0.2">
      <c r="A1349" s="30"/>
      <c r="H1349" s="5">
        <f t="shared" si="69"/>
        <v>0</v>
      </c>
      <c r="I1349" s="5">
        <f t="shared" si="70"/>
        <v>0</v>
      </c>
    </row>
    <row r="1350" spans="1:9" x14ac:dyDescent="0.2">
      <c r="A1350" s="30"/>
      <c r="H1350" s="5">
        <f t="shared" si="69"/>
        <v>0</v>
      </c>
      <c r="I1350" s="5">
        <f t="shared" si="70"/>
        <v>0</v>
      </c>
    </row>
    <row r="1351" spans="1:9" x14ac:dyDescent="0.2">
      <c r="A1351" s="30"/>
      <c r="H1351" s="5">
        <f t="shared" si="69"/>
        <v>0</v>
      </c>
      <c r="I1351" s="5">
        <f t="shared" si="70"/>
        <v>0</v>
      </c>
    </row>
    <row r="1352" spans="1:9" x14ac:dyDescent="0.2">
      <c r="A1352" s="30"/>
      <c r="H1352" s="5">
        <f t="shared" si="69"/>
        <v>0</v>
      </c>
      <c r="I1352" s="5">
        <f t="shared" si="70"/>
        <v>0</v>
      </c>
    </row>
    <row r="1353" spans="1:9" x14ac:dyDescent="0.2">
      <c r="A1353" s="30"/>
      <c r="H1353" s="5">
        <f t="shared" si="69"/>
        <v>0</v>
      </c>
      <c r="I1353" s="5">
        <f t="shared" si="70"/>
        <v>0</v>
      </c>
    </row>
    <row r="1354" spans="1:9" x14ac:dyDescent="0.2">
      <c r="A1354" s="30"/>
      <c r="H1354" s="5">
        <f t="shared" si="69"/>
        <v>0</v>
      </c>
      <c r="I1354" s="5">
        <f t="shared" si="70"/>
        <v>0</v>
      </c>
    </row>
    <row r="1355" spans="1:9" x14ac:dyDescent="0.2">
      <c r="A1355" s="30"/>
      <c r="H1355" s="5">
        <f t="shared" si="69"/>
        <v>0</v>
      </c>
      <c r="I1355" s="5">
        <f t="shared" si="70"/>
        <v>0</v>
      </c>
    </row>
    <row r="1356" spans="1:9" x14ac:dyDescent="0.2">
      <c r="A1356" s="30"/>
      <c r="H1356" s="5">
        <f t="shared" si="69"/>
        <v>0</v>
      </c>
      <c r="I1356" s="5">
        <f t="shared" si="70"/>
        <v>0</v>
      </c>
    </row>
    <row r="1357" spans="1:9" x14ac:dyDescent="0.2">
      <c r="A1357" s="30"/>
      <c r="H1357" s="5">
        <f t="shared" si="69"/>
        <v>0</v>
      </c>
      <c r="I1357" s="5">
        <f t="shared" si="70"/>
        <v>0</v>
      </c>
    </row>
    <row r="1358" spans="1:9" x14ac:dyDescent="0.2">
      <c r="A1358" s="30"/>
      <c r="H1358" s="5">
        <f t="shared" si="69"/>
        <v>0</v>
      </c>
      <c r="I1358" s="5">
        <f t="shared" si="70"/>
        <v>0</v>
      </c>
    </row>
    <row r="1359" spans="1:9" x14ac:dyDescent="0.2">
      <c r="A1359" s="30"/>
      <c r="H1359" s="5">
        <f t="shared" si="69"/>
        <v>0</v>
      </c>
      <c r="I1359" s="5">
        <f t="shared" si="70"/>
        <v>0</v>
      </c>
    </row>
    <row r="1360" spans="1:9" x14ac:dyDescent="0.2">
      <c r="A1360" s="30"/>
      <c r="H1360" s="5">
        <f t="shared" si="69"/>
        <v>0</v>
      </c>
      <c r="I1360" s="5">
        <f t="shared" si="70"/>
        <v>0</v>
      </c>
    </row>
    <row r="1361" spans="1:9" x14ac:dyDescent="0.2">
      <c r="A1361" s="30"/>
      <c r="H1361" s="5">
        <f t="shared" si="69"/>
        <v>0</v>
      </c>
      <c r="I1361" s="5">
        <f t="shared" si="70"/>
        <v>0</v>
      </c>
    </row>
    <row r="1362" spans="1:9" x14ac:dyDescent="0.2">
      <c r="A1362" s="30"/>
      <c r="H1362" s="5">
        <f t="shared" si="69"/>
        <v>0</v>
      </c>
      <c r="I1362" s="5">
        <f t="shared" si="70"/>
        <v>0</v>
      </c>
    </row>
    <row r="1363" spans="1:9" x14ac:dyDescent="0.2">
      <c r="A1363" s="30"/>
      <c r="H1363" s="5">
        <f t="shared" si="69"/>
        <v>0</v>
      </c>
      <c r="I1363" s="5">
        <f t="shared" si="70"/>
        <v>0</v>
      </c>
    </row>
    <row r="1364" spans="1:9" x14ac:dyDescent="0.2">
      <c r="A1364" s="30"/>
      <c r="H1364" s="5">
        <f t="shared" si="69"/>
        <v>0</v>
      </c>
      <c r="I1364" s="5">
        <f t="shared" si="70"/>
        <v>0</v>
      </c>
    </row>
    <row r="1365" spans="1:9" x14ac:dyDescent="0.2">
      <c r="A1365" s="30"/>
      <c r="H1365" s="5">
        <f t="shared" si="69"/>
        <v>0</v>
      </c>
      <c r="I1365" s="5">
        <f t="shared" si="70"/>
        <v>0</v>
      </c>
    </row>
    <row r="1366" spans="1:9" x14ac:dyDescent="0.2">
      <c r="A1366" s="30"/>
      <c r="H1366" s="5">
        <f t="shared" si="69"/>
        <v>0</v>
      </c>
      <c r="I1366" s="5">
        <f t="shared" si="70"/>
        <v>0</v>
      </c>
    </row>
    <row r="1367" spans="1:9" x14ac:dyDescent="0.2">
      <c r="A1367" s="30"/>
      <c r="H1367" s="5">
        <f t="shared" si="69"/>
        <v>0</v>
      </c>
      <c r="I1367" s="5">
        <f t="shared" si="70"/>
        <v>0</v>
      </c>
    </row>
    <row r="1368" spans="1:9" x14ac:dyDescent="0.2">
      <c r="A1368" s="30"/>
      <c r="H1368" s="5">
        <f t="shared" si="69"/>
        <v>0</v>
      </c>
      <c r="I1368" s="5">
        <f t="shared" si="70"/>
        <v>0</v>
      </c>
    </row>
    <row r="1369" spans="1:9" x14ac:dyDescent="0.2">
      <c r="A1369" s="30"/>
      <c r="H1369" s="5">
        <f t="shared" si="69"/>
        <v>0</v>
      </c>
      <c r="I1369" s="5">
        <f t="shared" si="70"/>
        <v>0</v>
      </c>
    </row>
    <row r="1370" spans="1:9" x14ac:dyDescent="0.2">
      <c r="A1370" s="30"/>
      <c r="H1370" s="5">
        <f t="shared" si="69"/>
        <v>0</v>
      </c>
      <c r="I1370" s="5">
        <f t="shared" si="70"/>
        <v>0</v>
      </c>
    </row>
    <row r="1371" spans="1:9" x14ac:dyDescent="0.2">
      <c r="A1371" s="30"/>
      <c r="H1371" s="5">
        <f t="shared" si="69"/>
        <v>0</v>
      </c>
      <c r="I1371" s="5">
        <f t="shared" si="70"/>
        <v>0</v>
      </c>
    </row>
    <row r="1372" spans="1:9" x14ac:dyDescent="0.2">
      <c r="A1372" s="30"/>
      <c r="H1372" s="5">
        <f t="shared" si="69"/>
        <v>0</v>
      </c>
      <c r="I1372" s="5">
        <f t="shared" si="70"/>
        <v>0</v>
      </c>
    </row>
    <row r="1373" spans="1:9" x14ac:dyDescent="0.2">
      <c r="A1373" s="30"/>
      <c r="H1373" s="5">
        <f t="shared" si="69"/>
        <v>0</v>
      </c>
      <c r="I1373" s="5">
        <f t="shared" si="70"/>
        <v>0</v>
      </c>
    </row>
    <row r="1374" spans="1:9" x14ac:dyDescent="0.2">
      <c r="A1374" s="30"/>
      <c r="H1374" s="5">
        <f t="shared" si="69"/>
        <v>0</v>
      </c>
      <c r="I1374" s="5">
        <f t="shared" si="70"/>
        <v>0</v>
      </c>
    </row>
    <row r="1375" spans="1:9" x14ac:dyDescent="0.2">
      <c r="A1375" s="30"/>
      <c r="H1375" s="5">
        <f t="shared" si="69"/>
        <v>0</v>
      </c>
      <c r="I1375" s="5">
        <f t="shared" si="70"/>
        <v>0</v>
      </c>
    </row>
    <row r="1376" spans="1:9" x14ac:dyDescent="0.2">
      <c r="A1376" s="30"/>
      <c r="H1376" s="5">
        <f t="shared" si="69"/>
        <v>0</v>
      </c>
      <c r="I1376" s="5">
        <f t="shared" si="70"/>
        <v>0</v>
      </c>
    </row>
    <row r="1377" spans="1:9" x14ac:dyDescent="0.2">
      <c r="A1377" s="30"/>
      <c r="H1377" s="5">
        <f t="shared" si="69"/>
        <v>0</v>
      </c>
      <c r="I1377" s="5">
        <f t="shared" si="70"/>
        <v>0</v>
      </c>
    </row>
    <row r="1378" spans="1:9" x14ac:dyDescent="0.2">
      <c r="A1378" s="30"/>
      <c r="H1378" s="5">
        <f t="shared" si="69"/>
        <v>0</v>
      </c>
      <c r="I1378" s="5">
        <f t="shared" si="70"/>
        <v>0</v>
      </c>
    </row>
    <row r="1379" spans="1:9" x14ac:dyDescent="0.2">
      <c r="A1379" s="30"/>
      <c r="H1379" s="5">
        <f t="shared" si="69"/>
        <v>0</v>
      </c>
      <c r="I1379" s="5">
        <f t="shared" si="70"/>
        <v>0</v>
      </c>
    </row>
    <row r="1380" spans="1:9" x14ac:dyDescent="0.2">
      <c r="A1380" s="30"/>
      <c r="H1380" s="5">
        <f t="shared" si="69"/>
        <v>0</v>
      </c>
      <c r="I1380" s="5">
        <f t="shared" si="70"/>
        <v>0</v>
      </c>
    </row>
    <row r="1381" spans="1:9" x14ac:dyDescent="0.2">
      <c r="A1381" s="30"/>
      <c r="H1381" s="5">
        <f t="shared" si="69"/>
        <v>0</v>
      </c>
      <c r="I1381" s="5">
        <f t="shared" si="70"/>
        <v>0</v>
      </c>
    </row>
    <row r="1382" spans="1:9" x14ac:dyDescent="0.2">
      <c r="A1382" s="30"/>
      <c r="H1382" s="5">
        <f t="shared" si="69"/>
        <v>0</v>
      </c>
      <c r="I1382" s="5">
        <f t="shared" si="70"/>
        <v>0</v>
      </c>
    </row>
    <row r="1383" spans="1:9" x14ac:dyDescent="0.2">
      <c r="A1383" s="30"/>
      <c r="H1383" s="5">
        <f t="shared" si="69"/>
        <v>0</v>
      </c>
      <c r="I1383" s="5">
        <f t="shared" si="70"/>
        <v>0</v>
      </c>
    </row>
    <row r="1384" spans="1:9" x14ac:dyDescent="0.2">
      <c r="A1384" s="30"/>
      <c r="H1384" s="5">
        <f t="shared" si="69"/>
        <v>0</v>
      </c>
      <c r="I1384" s="5">
        <f t="shared" si="70"/>
        <v>0</v>
      </c>
    </row>
    <row r="1385" spans="1:9" x14ac:dyDescent="0.2">
      <c r="A1385" s="30"/>
      <c r="H1385" s="5">
        <f t="shared" si="69"/>
        <v>0</v>
      </c>
      <c r="I1385" s="5">
        <f t="shared" si="70"/>
        <v>0</v>
      </c>
    </row>
    <row r="1386" spans="1:9" x14ac:dyDescent="0.2">
      <c r="A1386" s="30"/>
      <c r="H1386" s="5">
        <f t="shared" si="69"/>
        <v>0</v>
      </c>
      <c r="I1386" s="5">
        <f t="shared" si="70"/>
        <v>0</v>
      </c>
    </row>
    <row r="1387" spans="1:9" x14ac:dyDescent="0.2">
      <c r="A1387" s="30"/>
      <c r="H1387" s="5">
        <f t="shared" si="69"/>
        <v>0</v>
      </c>
      <c r="I1387" s="5">
        <f t="shared" si="70"/>
        <v>0</v>
      </c>
    </row>
    <row r="1388" spans="1:9" x14ac:dyDescent="0.2">
      <c r="A1388" s="30"/>
      <c r="H1388" s="5">
        <f t="shared" si="69"/>
        <v>0</v>
      </c>
      <c r="I1388" s="5">
        <f t="shared" si="70"/>
        <v>0</v>
      </c>
    </row>
    <row r="1389" spans="1:9" x14ac:dyDescent="0.2">
      <c r="A1389" s="30"/>
      <c r="H1389" s="5">
        <f t="shared" si="69"/>
        <v>0</v>
      </c>
      <c r="I1389" s="5">
        <f t="shared" si="70"/>
        <v>0</v>
      </c>
    </row>
    <row r="1390" spans="1:9" x14ac:dyDescent="0.2">
      <c r="A1390" s="30"/>
      <c r="H1390" s="5">
        <f t="shared" si="69"/>
        <v>0</v>
      </c>
      <c r="I1390" s="5">
        <f t="shared" si="70"/>
        <v>0</v>
      </c>
    </row>
    <row r="1391" spans="1:9" x14ac:dyDescent="0.2">
      <c r="A1391" s="30"/>
      <c r="H1391" s="5">
        <f t="shared" si="69"/>
        <v>0</v>
      </c>
      <c r="I1391" s="5">
        <f t="shared" si="70"/>
        <v>0</v>
      </c>
    </row>
    <row r="1392" spans="1:9" x14ac:dyDescent="0.2">
      <c r="A1392" s="30"/>
      <c r="H1392" s="5">
        <f t="shared" si="69"/>
        <v>0</v>
      </c>
      <c r="I1392" s="5">
        <f t="shared" si="70"/>
        <v>0</v>
      </c>
    </row>
    <row r="1393" spans="1:9" x14ac:dyDescent="0.2">
      <c r="A1393" s="30"/>
      <c r="H1393" s="5">
        <f t="shared" si="69"/>
        <v>0</v>
      </c>
      <c r="I1393" s="5">
        <f t="shared" si="70"/>
        <v>0</v>
      </c>
    </row>
    <row r="1394" spans="1:9" x14ac:dyDescent="0.2">
      <c r="A1394" s="30"/>
      <c r="H1394" s="5">
        <f t="shared" si="69"/>
        <v>0</v>
      </c>
      <c r="I1394" s="5">
        <f t="shared" si="70"/>
        <v>0</v>
      </c>
    </row>
    <row r="1395" spans="1:9" x14ac:dyDescent="0.2">
      <c r="A1395" s="30"/>
      <c r="H1395" s="5">
        <f t="shared" si="69"/>
        <v>0</v>
      </c>
      <c r="I1395" s="5">
        <f t="shared" si="70"/>
        <v>0</v>
      </c>
    </row>
    <row r="1396" spans="1:9" x14ac:dyDescent="0.2">
      <c r="A1396" s="30"/>
      <c r="H1396" s="5">
        <f t="shared" si="69"/>
        <v>0</v>
      </c>
      <c r="I1396" s="5">
        <f t="shared" si="70"/>
        <v>0</v>
      </c>
    </row>
    <row r="1397" spans="1:9" x14ac:dyDescent="0.2">
      <c r="A1397" s="30"/>
      <c r="H1397" s="5">
        <f t="shared" si="69"/>
        <v>0</v>
      </c>
      <c r="I1397" s="5">
        <f t="shared" si="70"/>
        <v>0</v>
      </c>
    </row>
    <row r="1398" spans="1:9" x14ac:dyDescent="0.2">
      <c r="A1398" s="30"/>
      <c r="H1398" s="5">
        <f t="shared" si="69"/>
        <v>0</v>
      </c>
      <c r="I1398" s="5">
        <f t="shared" si="70"/>
        <v>0</v>
      </c>
    </row>
    <row r="1399" spans="1:9" x14ac:dyDescent="0.2">
      <c r="A1399" s="30"/>
      <c r="H1399" s="5">
        <f t="shared" si="69"/>
        <v>0</v>
      </c>
      <c r="I1399" s="5">
        <f t="shared" si="70"/>
        <v>0</v>
      </c>
    </row>
    <row r="1400" spans="1:9" x14ac:dyDescent="0.2">
      <c r="A1400" s="30"/>
      <c r="H1400" s="5">
        <f t="shared" si="69"/>
        <v>0</v>
      </c>
      <c r="I1400" s="5">
        <f t="shared" si="70"/>
        <v>0</v>
      </c>
    </row>
    <row r="1401" spans="1:9" x14ac:dyDescent="0.2">
      <c r="A1401" s="30"/>
      <c r="H1401" s="5">
        <f t="shared" si="69"/>
        <v>0</v>
      </c>
      <c r="I1401" s="5">
        <f t="shared" si="70"/>
        <v>0</v>
      </c>
    </row>
    <row r="1402" spans="1:9" x14ac:dyDescent="0.2">
      <c r="A1402" s="30"/>
      <c r="H1402" s="5">
        <f t="shared" si="69"/>
        <v>0</v>
      </c>
      <c r="I1402" s="5">
        <f t="shared" si="70"/>
        <v>0</v>
      </c>
    </row>
    <row r="1403" spans="1:9" x14ac:dyDescent="0.2">
      <c r="A1403" s="30"/>
      <c r="H1403" s="5">
        <f t="shared" si="69"/>
        <v>0</v>
      </c>
      <c r="I1403" s="5">
        <f t="shared" si="70"/>
        <v>0</v>
      </c>
    </row>
    <row r="1404" spans="1:9" x14ac:dyDescent="0.2">
      <c r="A1404" s="30"/>
      <c r="H1404" s="5">
        <f t="shared" si="69"/>
        <v>0</v>
      </c>
      <c r="I1404" s="5">
        <f t="shared" si="70"/>
        <v>0</v>
      </c>
    </row>
    <row r="1405" spans="1:9" x14ac:dyDescent="0.2">
      <c r="A1405" s="30"/>
      <c r="H1405" s="5">
        <f t="shared" si="69"/>
        <v>0</v>
      </c>
      <c r="I1405" s="5">
        <f t="shared" si="70"/>
        <v>0</v>
      </c>
    </row>
    <row r="1406" spans="1:9" x14ac:dyDescent="0.2">
      <c r="A1406" s="30"/>
      <c r="H1406" s="5">
        <f t="shared" si="69"/>
        <v>0</v>
      </c>
      <c r="I1406" s="5">
        <f t="shared" si="70"/>
        <v>0</v>
      </c>
    </row>
    <row r="1407" spans="1:9" x14ac:dyDescent="0.2">
      <c r="A1407" s="30"/>
      <c r="H1407" s="5">
        <f t="shared" si="69"/>
        <v>0</v>
      </c>
      <c r="I1407" s="5">
        <f t="shared" si="70"/>
        <v>0</v>
      </c>
    </row>
    <row r="1408" spans="1:9" x14ac:dyDescent="0.2">
      <c r="A1408" s="30"/>
      <c r="H1408" s="5">
        <f t="shared" ref="H1408:H1471" si="71">+G1408-E1408</f>
        <v>0</v>
      </c>
      <c r="I1408" s="5">
        <f t="shared" ref="I1408:I1471" si="72">G1408-F1408</f>
        <v>0</v>
      </c>
    </row>
    <row r="1409" spans="1:9" x14ac:dyDescent="0.2">
      <c r="A1409" s="30"/>
      <c r="H1409" s="5">
        <f t="shared" si="71"/>
        <v>0</v>
      </c>
      <c r="I1409" s="5">
        <f t="shared" si="72"/>
        <v>0</v>
      </c>
    </row>
    <row r="1410" spans="1:9" x14ac:dyDescent="0.2">
      <c r="A1410" s="30"/>
      <c r="H1410" s="5">
        <f t="shared" si="71"/>
        <v>0</v>
      </c>
      <c r="I1410" s="5">
        <f t="shared" si="72"/>
        <v>0</v>
      </c>
    </row>
    <row r="1411" spans="1:9" x14ac:dyDescent="0.2">
      <c r="A1411" s="30"/>
      <c r="H1411" s="5">
        <f t="shared" si="71"/>
        <v>0</v>
      </c>
      <c r="I1411" s="5">
        <f t="shared" si="72"/>
        <v>0</v>
      </c>
    </row>
    <row r="1412" spans="1:9" x14ac:dyDescent="0.2">
      <c r="A1412" s="30"/>
      <c r="H1412" s="5">
        <f t="shared" si="71"/>
        <v>0</v>
      </c>
      <c r="I1412" s="5">
        <f t="shared" si="72"/>
        <v>0</v>
      </c>
    </row>
    <row r="1413" spans="1:9" x14ac:dyDescent="0.2">
      <c r="A1413" s="30"/>
      <c r="H1413" s="5">
        <f t="shared" si="71"/>
        <v>0</v>
      </c>
      <c r="I1413" s="5">
        <f t="shared" si="72"/>
        <v>0</v>
      </c>
    </row>
    <row r="1414" spans="1:9" x14ac:dyDescent="0.2">
      <c r="A1414" s="30"/>
      <c r="H1414" s="5">
        <f t="shared" si="71"/>
        <v>0</v>
      </c>
      <c r="I1414" s="5">
        <f t="shared" si="72"/>
        <v>0</v>
      </c>
    </row>
    <row r="1415" spans="1:9" x14ac:dyDescent="0.2">
      <c r="A1415" s="30"/>
      <c r="H1415" s="5">
        <f t="shared" si="71"/>
        <v>0</v>
      </c>
      <c r="I1415" s="5">
        <f t="shared" si="72"/>
        <v>0</v>
      </c>
    </row>
    <row r="1416" spans="1:9" x14ac:dyDescent="0.2">
      <c r="A1416" s="30"/>
      <c r="H1416" s="5">
        <f t="shared" si="71"/>
        <v>0</v>
      </c>
      <c r="I1416" s="5">
        <f t="shared" si="72"/>
        <v>0</v>
      </c>
    </row>
    <row r="1417" spans="1:9" x14ac:dyDescent="0.2">
      <c r="A1417" s="30"/>
      <c r="H1417" s="5">
        <f t="shared" si="71"/>
        <v>0</v>
      </c>
      <c r="I1417" s="5">
        <f t="shared" si="72"/>
        <v>0</v>
      </c>
    </row>
    <row r="1418" spans="1:9" x14ac:dyDescent="0.2">
      <c r="A1418" s="30"/>
      <c r="H1418" s="5">
        <f t="shared" si="71"/>
        <v>0</v>
      </c>
      <c r="I1418" s="5">
        <f t="shared" si="72"/>
        <v>0</v>
      </c>
    </row>
    <row r="1419" spans="1:9" x14ac:dyDescent="0.2">
      <c r="A1419" s="30"/>
      <c r="H1419" s="5">
        <f t="shared" si="71"/>
        <v>0</v>
      </c>
      <c r="I1419" s="5">
        <f t="shared" si="72"/>
        <v>0</v>
      </c>
    </row>
    <row r="1420" spans="1:9" x14ac:dyDescent="0.2">
      <c r="A1420" s="30"/>
      <c r="H1420" s="5">
        <f t="shared" si="71"/>
        <v>0</v>
      </c>
      <c r="I1420" s="5">
        <f t="shared" si="72"/>
        <v>0</v>
      </c>
    </row>
    <row r="1421" spans="1:9" x14ac:dyDescent="0.2">
      <c r="A1421" s="30"/>
      <c r="H1421" s="5">
        <f t="shared" si="71"/>
        <v>0</v>
      </c>
      <c r="I1421" s="5">
        <f t="shared" si="72"/>
        <v>0</v>
      </c>
    </row>
    <row r="1422" spans="1:9" x14ac:dyDescent="0.2">
      <c r="A1422" s="30"/>
      <c r="H1422" s="5">
        <f t="shared" si="71"/>
        <v>0</v>
      </c>
      <c r="I1422" s="5">
        <f t="shared" si="72"/>
        <v>0</v>
      </c>
    </row>
    <row r="1423" spans="1:9" x14ac:dyDescent="0.2">
      <c r="A1423" s="30"/>
      <c r="H1423" s="5">
        <f t="shared" si="71"/>
        <v>0</v>
      </c>
      <c r="I1423" s="5">
        <f t="shared" si="72"/>
        <v>0</v>
      </c>
    </row>
    <row r="1424" spans="1:9" x14ac:dyDescent="0.2">
      <c r="A1424" s="30"/>
      <c r="H1424" s="5">
        <f t="shared" si="71"/>
        <v>0</v>
      </c>
      <c r="I1424" s="5">
        <f t="shared" si="72"/>
        <v>0</v>
      </c>
    </row>
    <row r="1425" spans="1:9" x14ac:dyDescent="0.2">
      <c r="A1425" s="30"/>
      <c r="H1425" s="5">
        <f t="shared" si="71"/>
        <v>0</v>
      </c>
      <c r="I1425" s="5">
        <f t="shared" si="72"/>
        <v>0</v>
      </c>
    </row>
    <row r="1426" spans="1:9" x14ac:dyDescent="0.2">
      <c r="A1426" s="30"/>
      <c r="H1426" s="5">
        <f t="shared" si="71"/>
        <v>0</v>
      </c>
      <c r="I1426" s="5">
        <f t="shared" si="72"/>
        <v>0</v>
      </c>
    </row>
    <row r="1427" spans="1:9" x14ac:dyDescent="0.2">
      <c r="A1427" s="30"/>
      <c r="H1427" s="5">
        <f t="shared" si="71"/>
        <v>0</v>
      </c>
      <c r="I1427" s="5">
        <f t="shared" si="72"/>
        <v>0</v>
      </c>
    </row>
    <row r="1428" spans="1:9" x14ac:dyDescent="0.2">
      <c r="A1428" s="30"/>
      <c r="H1428" s="5">
        <f t="shared" si="71"/>
        <v>0</v>
      </c>
      <c r="I1428" s="5">
        <f t="shared" si="72"/>
        <v>0</v>
      </c>
    </row>
    <row r="1429" spans="1:9" x14ac:dyDescent="0.2">
      <c r="A1429" s="30"/>
      <c r="H1429" s="5">
        <f t="shared" si="71"/>
        <v>0</v>
      </c>
      <c r="I1429" s="5">
        <f t="shared" si="72"/>
        <v>0</v>
      </c>
    </row>
    <row r="1430" spans="1:9" x14ac:dyDescent="0.2">
      <c r="A1430" s="30"/>
      <c r="H1430" s="5">
        <f t="shared" si="71"/>
        <v>0</v>
      </c>
      <c r="I1430" s="5">
        <f t="shared" si="72"/>
        <v>0</v>
      </c>
    </row>
    <row r="1431" spans="1:9" x14ac:dyDescent="0.2">
      <c r="A1431" s="30"/>
      <c r="H1431" s="5">
        <f t="shared" si="71"/>
        <v>0</v>
      </c>
      <c r="I1431" s="5">
        <f t="shared" si="72"/>
        <v>0</v>
      </c>
    </row>
    <row r="1432" spans="1:9" x14ac:dyDescent="0.2">
      <c r="A1432" s="30"/>
      <c r="H1432" s="5">
        <f t="shared" si="71"/>
        <v>0</v>
      </c>
      <c r="I1432" s="5">
        <f t="shared" si="72"/>
        <v>0</v>
      </c>
    </row>
    <row r="1433" spans="1:9" x14ac:dyDescent="0.2">
      <c r="A1433" s="30"/>
      <c r="H1433" s="5">
        <f t="shared" si="71"/>
        <v>0</v>
      </c>
      <c r="I1433" s="5">
        <f t="shared" si="72"/>
        <v>0</v>
      </c>
    </row>
    <row r="1434" spans="1:9" x14ac:dyDescent="0.2">
      <c r="A1434" s="30"/>
      <c r="H1434" s="5">
        <f t="shared" si="71"/>
        <v>0</v>
      </c>
      <c r="I1434" s="5">
        <f t="shared" si="72"/>
        <v>0</v>
      </c>
    </row>
    <row r="1435" spans="1:9" x14ac:dyDescent="0.2">
      <c r="A1435" s="30"/>
      <c r="H1435" s="5">
        <f t="shared" si="71"/>
        <v>0</v>
      </c>
      <c r="I1435" s="5">
        <f t="shared" si="72"/>
        <v>0</v>
      </c>
    </row>
    <row r="1436" spans="1:9" x14ac:dyDescent="0.2">
      <c r="A1436" s="30"/>
      <c r="H1436" s="5">
        <f t="shared" si="71"/>
        <v>0</v>
      </c>
      <c r="I1436" s="5">
        <f t="shared" si="72"/>
        <v>0</v>
      </c>
    </row>
    <row r="1437" spans="1:9" x14ac:dyDescent="0.2">
      <c r="A1437" s="30"/>
      <c r="H1437" s="5">
        <f t="shared" si="71"/>
        <v>0</v>
      </c>
      <c r="I1437" s="5">
        <f t="shared" si="72"/>
        <v>0</v>
      </c>
    </row>
    <row r="1438" spans="1:9" x14ac:dyDescent="0.2">
      <c r="A1438" s="30"/>
      <c r="H1438" s="5">
        <f t="shared" si="71"/>
        <v>0</v>
      </c>
      <c r="I1438" s="5">
        <f t="shared" si="72"/>
        <v>0</v>
      </c>
    </row>
    <row r="1439" spans="1:9" x14ac:dyDescent="0.2">
      <c r="A1439" s="30"/>
      <c r="H1439" s="5">
        <f t="shared" si="71"/>
        <v>0</v>
      </c>
      <c r="I1439" s="5">
        <f t="shared" si="72"/>
        <v>0</v>
      </c>
    </row>
    <row r="1440" spans="1:9" x14ac:dyDescent="0.2">
      <c r="A1440" s="30"/>
      <c r="H1440" s="5">
        <f t="shared" si="71"/>
        <v>0</v>
      </c>
      <c r="I1440" s="5">
        <f t="shared" si="72"/>
        <v>0</v>
      </c>
    </row>
    <row r="1441" spans="1:9" x14ac:dyDescent="0.2">
      <c r="A1441" s="30"/>
      <c r="H1441" s="5">
        <f t="shared" si="71"/>
        <v>0</v>
      </c>
      <c r="I1441" s="5">
        <f t="shared" si="72"/>
        <v>0</v>
      </c>
    </row>
    <row r="1442" spans="1:9" x14ac:dyDescent="0.2">
      <c r="A1442" s="30"/>
      <c r="H1442" s="5">
        <f t="shared" si="71"/>
        <v>0</v>
      </c>
      <c r="I1442" s="5">
        <f t="shared" si="72"/>
        <v>0</v>
      </c>
    </row>
    <row r="1443" spans="1:9" x14ac:dyDescent="0.2">
      <c r="A1443" s="30"/>
      <c r="H1443" s="5">
        <f t="shared" si="71"/>
        <v>0</v>
      </c>
      <c r="I1443" s="5">
        <f t="shared" si="72"/>
        <v>0</v>
      </c>
    </row>
    <row r="1444" spans="1:9" x14ac:dyDescent="0.2">
      <c r="A1444" s="30"/>
      <c r="H1444" s="5">
        <f t="shared" si="71"/>
        <v>0</v>
      </c>
      <c r="I1444" s="5">
        <f t="shared" si="72"/>
        <v>0</v>
      </c>
    </row>
    <row r="1445" spans="1:9" x14ac:dyDescent="0.2">
      <c r="A1445" s="30"/>
      <c r="H1445" s="5">
        <f t="shared" si="71"/>
        <v>0</v>
      </c>
      <c r="I1445" s="5">
        <f t="shared" si="72"/>
        <v>0</v>
      </c>
    </row>
    <row r="1446" spans="1:9" x14ac:dyDescent="0.2">
      <c r="A1446" s="30"/>
      <c r="H1446" s="5">
        <f t="shared" si="71"/>
        <v>0</v>
      </c>
      <c r="I1446" s="5">
        <f t="shared" si="72"/>
        <v>0</v>
      </c>
    </row>
    <row r="1447" spans="1:9" x14ac:dyDescent="0.2">
      <c r="A1447" s="30"/>
      <c r="H1447" s="5">
        <f t="shared" si="71"/>
        <v>0</v>
      </c>
      <c r="I1447" s="5">
        <f t="shared" si="72"/>
        <v>0</v>
      </c>
    </row>
    <row r="1448" spans="1:9" x14ac:dyDescent="0.2">
      <c r="A1448" s="30"/>
      <c r="H1448" s="5">
        <f t="shared" si="71"/>
        <v>0</v>
      </c>
      <c r="I1448" s="5">
        <f t="shared" si="72"/>
        <v>0</v>
      </c>
    </row>
    <row r="1449" spans="1:9" x14ac:dyDescent="0.2">
      <c r="A1449" s="30"/>
      <c r="H1449" s="5">
        <f t="shared" si="71"/>
        <v>0</v>
      </c>
      <c r="I1449" s="5">
        <f t="shared" si="72"/>
        <v>0</v>
      </c>
    </row>
    <row r="1450" spans="1:9" x14ac:dyDescent="0.2">
      <c r="A1450" s="30"/>
      <c r="H1450" s="5">
        <f t="shared" si="71"/>
        <v>0</v>
      </c>
      <c r="I1450" s="5">
        <f t="shared" si="72"/>
        <v>0</v>
      </c>
    </row>
    <row r="1451" spans="1:9" x14ac:dyDescent="0.2">
      <c r="A1451" s="30"/>
      <c r="H1451" s="5">
        <f t="shared" si="71"/>
        <v>0</v>
      </c>
      <c r="I1451" s="5">
        <f t="shared" si="72"/>
        <v>0</v>
      </c>
    </row>
    <row r="1452" spans="1:9" x14ac:dyDescent="0.2">
      <c r="A1452" s="30"/>
      <c r="H1452" s="5">
        <f t="shared" si="71"/>
        <v>0</v>
      </c>
      <c r="I1452" s="5">
        <f t="shared" si="72"/>
        <v>0</v>
      </c>
    </row>
    <row r="1453" spans="1:9" x14ac:dyDescent="0.2">
      <c r="A1453" s="30"/>
      <c r="H1453" s="5">
        <f t="shared" si="71"/>
        <v>0</v>
      </c>
      <c r="I1453" s="5">
        <f t="shared" si="72"/>
        <v>0</v>
      </c>
    </row>
    <row r="1454" spans="1:9" x14ac:dyDescent="0.2">
      <c r="A1454" s="30"/>
      <c r="H1454" s="5">
        <f t="shared" si="71"/>
        <v>0</v>
      </c>
      <c r="I1454" s="5">
        <f t="shared" si="72"/>
        <v>0</v>
      </c>
    </row>
    <row r="1455" spans="1:9" x14ac:dyDescent="0.2">
      <c r="A1455" s="30"/>
      <c r="H1455" s="5">
        <f t="shared" si="71"/>
        <v>0</v>
      </c>
      <c r="I1455" s="5">
        <f t="shared" si="72"/>
        <v>0</v>
      </c>
    </row>
    <row r="1456" spans="1:9" x14ac:dyDescent="0.2">
      <c r="A1456" s="30"/>
      <c r="H1456" s="5">
        <f t="shared" si="71"/>
        <v>0</v>
      </c>
      <c r="I1456" s="5">
        <f t="shared" si="72"/>
        <v>0</v>
      </c>
    </row>
    <row r="1457" spans="1:9" x14ac:dyDescent="0.2">
      <c r="A1457" s="30"/>
      <c r="H1457" s="5">
        <f t="shared" si="71"/>
        <v>0</v>
      </c>
      <c r="I1457" s="5">
        <f t="shared" si="72"/>
        <v>0</v>
      </c>
    </row>
    <row r="1458" spans="1:9" x14ac:dyDescent="0.2">
      <c r="A1458" s="30"/>
      <c r="H1458" s="5">
        <f t="shared" si="71"/>
        <v>0</v>
      </c>
      <c r="I1458" s="5">
        <f t="shared" si="72"/>
        <v>0</v>
      </c>
    </row>
    <row r="1459" spans="1:9" x14ac:dyDescent="0.2">
      <c r="A1459" s="30"/>
      <c r="H1459" s="5">
        <f t="shared" si="71"/>
        <v>0</v>
      </c>
      <c r="I1459" s="5">
        <f t="shared" si="72"/>
        <v>0</v>
      </c>
    </row>
    <row r="1460" spans="1:9" x14ac:dyDescent="0.2">
      <c r="A1460" s="30"/>
      <c r="H1460" s="5">
        <f t="shared" si="71"/>
        <v>0</v>
      </c>
      <c r="I1460" s="5">
        <f t="shared" si="72"/>
        <v>0</v>
      </c>
    </row>
    <row r="1461" spans="1:9" x14ac:dyDescent="0.2">
      <c r="A1461" s="30"/>
      <c r="H1461" s="5">
        <f t="shared" si="71"/>
        <v>0</v>
      </c>
      <c r="I1461" s="5">
        <f t="shared" si="72"/>
        <v>0</v>
      </c>
    </row>
    <row r="1462" spans="1:9" x14ac:dyDescent="0.2">
      <c r="A1462" s="30"/>
      <c r="H1462" s="5">
        <f t="shared" si="71"/>
        <v>0</v>
      </c>
      <c r="I1462" s="5">
        <f t="shared" si="72"/>
        <v>0</v>
      </c>
    </row>
    <row r="1463" spans="1:9" x14ac:dyDescent="0.2">
      <c r="A1463" s="30"/>
      <c r="H1463" s="5">
        <f t="shared" si="71"/>
        <v>0</v>
      </c>
      <c r="I1463" s="5">
        <f t="shared" si="72"/>
        <v>0</v>
      </c>
    </row>
    <row r="1464" spans="1:9" x14ac:dyDescent="0.2">
      <c r="A1464" s="30"/>
      <c r="H1464" s="5">
        <f t="shared" si="71"/>
        <v>0</v>
      </c>
      <c r="I1464" s="5">
        <f t="shared" si="72"/>
        <v>0</v>
      </c>
    </row>
    <row r="1465" spans="1:9" x14ac:dyDescent="0.2">
      <c r="A1465" s="30"/>
      <c r="H1465" s="5">
        <f t="shared" si="71"/>
        <v>0</v>
      </c>
      <c r="I1465" s="5">
        <f t="shared" si="72"/>
        <v>0</v>
      </c>
    </row>
    <row r="1466" spans="1:9" x14ac:dyDescent="0.2">
      <c r="A1466" s="30"/>
      <c r="H1466" s="5">
        <f t="shared" si="71"/>
        <v>0</v>
      </c>
      <c r="I1466" s="5">
        <f t="shared" si="72"/>
        <v>0</v>
      </c>
    </row>
    <row r="1467" spans="1:9" x14ac:dyDescent="0.2">
      <c r="A1467" s="30"/>
      <c r="H1467" s="5">
        <f t="shared" si="71"/>
        <v>0</v>
      </c>
      <c r="I1467" s="5">
        <f t="shared" si="72"/>
        <v>0</v>
      </c>
    </row>
    <row r="1468" spans="1:9" x14ac:dyDescent="0.2">
      <c r="A1468" s="30"/>
      <c r="H1468" s="5">
        <f t="shared" si="71"/>
        <v>0</v>
      </c>
      <c r="I1468" s="5">
        <f t="shared" si="72"/>
        <v>0</v>
      </c>
    </row>
    <row r="1469" spans="1:9" x14ac:dyDescent="0.2">
      <c r="A1469" s="30"/>
      <c r="H1469" s="5">
        <f t="shared" si="71"/>
        <v>0</v>
      </c>
      <c r="I1469" s="5">
        <f t="shared" si="72"/>
        <v>0</v>
      </c>
    </row>
    <row r="1470" spans="1:9" x14ac:dyDescent="0.2">
      <c r="A1470" s="30"/>
      <c r="H1470" s="5">
        <f t="shared" si="71"/>
        <v>0</v>
      </c>
      <c r="I1470" s="5">
        <f t="shared" si="72"/>
        <v>0</v>
      </c>
    </row>
    <row r="1471" spans="1:9" x14ac:dyDescent="0.2">
      <c r="A1471" s="30"/>
      <c r="H1471" s="5">
        <f t="shared" si="71"/>
        <v>0</v>
      </c>
      <c r="I1471" s="5">
        <f t="shared" si="72"/>
        <v>0</v>
      </c>
    </row>
    <row r="1472" spans="1:9" x14ac:dyDescent="0.2">
      <c r="A1472" s="30"/>
      <c r="H1472" s="5">
        <f t="shared" ref="H1472:H1535" si="73">+G1472-E1472</f>
        <v>0</v>
      </c>
      <c r="I1472" s="5">
        <f t="shared" ref="I1472:I1535" si="74">G1472-F1472</f>
        <v>0</v>
      </c>
    </row>
    <row r="1473" spans="1:9" x14ac:dyDescent="0.2">
      <c r="A1473" s="30"/>
      <c r="H1473" s="5">
        <f t="shared" si="73"/>
        <v>0</v>
      </c>
      <c r="I1473" s="5">
        <f t="shared" si="74"/>
        <v>0</v>
      </c>
    </row>
    <row r="1474" spans="1:9" x14ac:dyDescent="0.2">
      <c r="A1474" s="30"/>
      <c r="H1474" s="5">
        <f t="shared" si="73"/>
        <v>0</v>
      </c>
      <c r="I1474" s="5">
        <f t="shared" si="74"/>
        <v>0</v>
      </c>
    </row>
    <row r="1475" spans="1:9" x14ac:dyDescent="0.2">
      <c r="A1475" s="30"/>
      <c r="H1475" s="5">
        <f t="shared" si="73"/>
        <v>0</v>
      </c>
      <c r="I1475" s="5">
        <f t="shared" si="74"/>
        <v>0</v>
      </c>
    </row>
    <row r="1476" spans="1:9" x14ac:dyDescent="0.2">
      <c r="A1476" s="30"/>
      <c r="H1476" s="5">
        <f t="shared" si="73"/>
        <v>0</v>
      </c>
      <c r="I1476" s="5">
        <f t="shared" si="74"/>
        <v>0</v>
      </c>
    </row>
    <row r="1477" spans="1:9" x14ac:dyDescent="0.2">
      <c r="A1477" s="30"/>
      <c r="H1477" s="5">
        <f t="shared" si="73"/>
        <v>0</v>
      </c>
      <c r="I1477" s="5">
        <f t="shared" si="74"/>
        <v>0</v>
      </c>
    </row>
    <row r="1478" spans="1:9" x14ac:dyDescent="0.2">
      <c r="A1478" s="30"/>
      <c r="H1478" s="5">
        <f t="shared" si="73"/>
        <v>0</v>
      </c>
      <c r="I1478" s="5">
        <f t="shared" si="74"/>
        <v>0</v>
      </c>
    </row>
    <row r="1479" spans="1:9" x14ac:dyDescent="0.2">
      <c r="A1479" s="30"/>
      <c r="H1479" s="5">
        <f t="shared" si="73"/>
        <v>0</v>
      </c>
      <c r="I1479" s="5">
        <f t="shared" si="74"/>
        <v>0</v>
      </c>
    </row>
    <row r="1480" spans="1:9" x14ac:dyDescent="0.2">
      <c r="A1480" s="30"/>
      <c r="H1480" s="5">
        <f t="shared" si="73"/>
        <v>0</v>
      </c>
      <c r="I1480" s="5">
        <f t="shared" si="74"/>
        <v>0</v>
      </c>
    </row>
    <row r="1481" spans="1:9" x14ac:dyDescent="0.2">
      <c r="A1481" s="30"/>
      <c r="H1481" s="5">
        <f t="shared" si="73"/>
        <v>0</v>
      </c>
      <c r="I1481" s="5">
        <f t="shared" si="74"/>
        <v>0</v>
      </c>
    </row>
    <row r="1482" spans="1:9" x14ac:dyDescent="0.2">
      <c r="A1482" s="30"/>
      <c r="H1482" s="5">
        <f t="shared" si="73"/>
        <v>0</v>
      </c>
      <c r="I1482" s="5">
        <f t="shared" si="74"/>
        <v>0</v>
      </c>
    </row>
    <row r="1483" spans="1:9" x14ac:dyDescent="0.2">
      <c r="A1483" s="30"/>
      <c r="H1483" s="5">
        <f t="shared" si="73"/>
        <v>0</v>
      </c>
      <c r="I1483" s="5">
        <f t="shared" si="74"/>
        <v>0</v>
      </c>
    </row>
    <row r="1484" spans="1:9" x14ac:dyDescent="0.2">
      <c r="A1484" s="30"/>
      <c r="H1484" s="5">
        <f t="shared" si="73"/>
        <v>0</v>
      </c>
      <c r="I1484" s="5">
        <f t="shared" si="74"/>
        <v>0</v>
      </c>
    </row>
    <row r="1485" spans="1:9" x14ac:dyDescent="0.2">
      <c r="A1485" s="30"/>
      <c r="H1485" s="5">
        <f t="shared" si="73"/>
        <v>0</v>
      </c>
      <c r="I1485" s="5">
        <f t="shared" si="74"/>
        <v>0</v>
      </c>
    </row>
    <row r="1486" spans="1:9" x14ac:dyDescent="0.2">
      <c r="A1486" s="30"/>
      <c r="H1486" s="5">
        <f t="shared" si="73"/>
        <v>0</v>
      </c>
      <c r="I1486" s="5">
        <f t="shared" si="74"/>
        <v>0</v>
      </c>
    </row>
    <row r="1487" spans="1:9" x14ac:dyDescent="0.2">
      <c r="A1487" s="30"/>
      <c r="H1487" s="5">
        <f t="shared" si="73"/>
        <v>0</v>
      </c>
      <c r="I1487" s="5">
        <f t="shared" si="74"/>
        <v>0</v>
      </c>
    </row>
    <row r="1488" spans="1:9" x14ac:dyDescent="0.2">
      <c r="A1488" s="30"/>
      <c r="H1488" s="5">
        <f t="shared" si="73"/>
        <v>0</v>
      </c>
      <c r="I1488" s="5">
        <f t="shared" si="74"/>
        <v>0</v>
      </c>
    </row>
    <row r="1489" spans="1:9" x14ac:dyDescent="0.2">
      <c r="A1489" s="30"/>
      <c r="H1489" s="5">
        <f t="shared" si="73"/>
        <v>0</v>
      </c>
      <c r="I1489" s="5">
        <f t="shared" si="74"/>
        <v>0</v>
      </c>
    </row>
    <row r="1490" spans="1:9" x14ac:dyDescent="0.2">
      <c r="A1490" s="30"/>
      <c r="H1490" s="5">
        <f t="shared" si="73"/>
        <v>0</v>
      </c>
      <c r="I1490" s="5">
        <f t="shared" si="74"/>
        <v>0</v>
      </c>
    </row>
    <row r="1491" spans="1:9" x14ac:dyDescent="0.2">
      <c r="A1491" s="30"/>
      <c r="H1491" s="5">
        <f t="shared" si="73"/>
        <v>0</v>
      </c>
      <c r="I1491" s="5">
        <f t="shared" si="74"/>
        <v>0</v>
      </c>
    </row>
    <row r="1492" spans="1:9" x14ac:dyDescent="0.2">
      <c r="A1492" s="30"/>
      <c r="H1492" s="5">
        <f t="shared" si="73"/>
        <v>0</v>
      </c>
      <c r="I1492" s="5">
        <f t="shared" si="74"/>
        <v>0</v>
      </c>
    </row>
    <row r="1493" spans="1:9" x14ac:dyDescent="0.2">
      <c r="A1493" s="30"/>
      <c r="H1493" s="5">
        <f t="shared" si="73"/>
        <v>0</v>
      </c>
      <c r="I1493" s="5">
        <f t="shared" si="74"/>
        <v>0</v>
      </c>
    </row>
    <row r="1494" spans="1:9" x14ac:dyDescent="0.2">
      <c r="A1494" s="30"/>
      <c r="H1494" s="5">
        <f t="shared" si="73"/>
        <v>0</v>
      </c>
      <c r="I1494" s="5">
        <f t="shared" si="74"/>
        <v>0</v>
      </c>
    </row>
    <row r="1495" spans="1:9" x14ac:dyDescent="0.2">
      <c r="A1495" s="30"/>
      <c r="H1495" s="5">
        <f t="shared" si="73"/>
        <v>0</v>
      </c>
      <c r="I1495" s="5">
        <f t="shared" si="74"/>
        <v>0</v>
      </c>
    </row>
    <row r="1496" spans="1:9" x14ac:dyDescent="0.2">
      <c r="A1496" s="30"/>
      <c r="H1496" s="5">
        <f t="shared" si="73"/>
        <v>0</v>
      </c>
      <c r="I1496" s="5">
        <f t="shared" si="74"/>
        <v>0</v>
      </c>
    </row>
    <row r="1497" spans="1:9" x14ac:dyDescent="0.2">
      <c r="A1497" s="30"/>
      <c r="H1497" s="5">
        <f t="shared" si="73"/>
        <v>0</v>
      </c>
      <c r="I1497" s="5">
        <f t="shared" si="74"/>
        <v>0</v>
      </c>
    </row>
    <row r="1498" spans="1:9" x14ac:dyDescent="0.2">
      <c r="A1498" s="30"/>
      <c r="H1498" s="5">
        <f t="shared" si="73"/>
        <v>0</v>
      </c>
      <c r="I1498" s="5">
        <f t="shared" si="74"/>
        <v>0</v>
      </c>
    </row>
    <row r="1499" spans="1:9" x14ac:dyDescent="0.2">
      <c r="A1499" s="30"/>
      <c r="H1499" s="5">
        <f t="shared" si="73"/>
        <v>0</v>
      </c>
      <c r="I1499" s="5">
        <f t="shared" si="74"/>
        <v>0</v>
      </c>
    </row>
    <row r="1500" spans="1:9" x14ac:dyDescent="0.2">
      <c r="A1500" s="30"/>
      <c r="H1500" s="5">
        <f t="shared" si="73"/>
        <v>0</v>
      </c>
      <c r="I1500" s="5">
        <f t="shared" si="74"/>
        <v>0</v>
      </c>
    </row>
    <row r="1501" spans="1:9" x14ac:dyDescent="0.2">
      <c r="A1501" s="30"/>
      <c r="H1501" s="5">
        <f t="shared" si="73"/>
        <v>0</v>
      </c>
      <c r="I1501" s="5">
        <f t="shared" si="74"/>
        <v>0</v>
      </c>
    </row>
    <row r="1502" spans="1:9" x14ac:dyDescent="0.2">
      <c r="A1502" s="30"/>
      <c r="H1502" s="5">
        <f t="shared" si="73"/>
        <v>0</v>
      </c>
      <c r="I1502" s="5">
        <f t="shared" si="74"/>
        <v>0</v>
      </c>
    </row>
    <row r="1503" spans="1:9" x14ac:dyDescent="0.2">
      <c r="A1503" s="30"/>
      <c r="H1503" s="5">
        <f t="shared" si="73"/>
        <v>0</v>
      </c>
      <c r="I1503" s="5">
        <f t="shared" si="74"/>
        <v>0</v>
      </c>
    </row>
    <row r="1504" spans="1:9" x14ac:dyDescent="0.2">
      <c r="A1504" s="30"/>
      <c r="H1504" s="5">
        <f t="shared" si="73"/>
        <v>0</v>
      </c>
      <c r="I1504" s="5">
        <f t="shared" si="74"/>
        <v>0</v>
      </c>
    </row>
    <row r="1505" spans="1:9" x14ac:dyDescent="0.2">
      <c r="A1505" s="30"/>
      <c r="H1505" s="5">
        <f t="shared" si="73"/>
        <v>0</v>
      </c>
      <c r="I1505" s="5">
        <f t="shared" si="74"/>
        <v>0</v>
      </c>
    </row>
    <row r="1506" spans="1:9" x14ac:dyDescent="0.2">
      <c r="A1506" s="30"/>
      <c r="H1506" s="5">
        <f t="shared" si="73"/>
        <v>0</v>
      </c>
      <c r="I1506" s="5">
        <f t="shared" si="74"/>
        <v>0</v>
      </c>
    </row>
    <row r="1507" spans="1:9" x14ac:dyDescent="0.2">
      <c r="A1507" s="30"/>
      <c r="H1507" s="5">
        <f t="shared" si="73"/>
        <v>0</v>
      </c>
      <c r="I1507" s="5">
        <f t="shared" si="74"/>
        <v>0</v>
      </c>
    </row>
    <row r="1508" spans="1:9" x14ac:dyDescent="0.2">
      <c r="A1508" s="30"/>
      <c r="H1508" s="5">
        <f t="shared" si="73"/>
        <v>0</v>
      </c>
      <c r="I1508" s="5">
        <f t="shared" si="74"/>
        <v>0</v>
      </c>
    </row>
    <row r="1509" spans="1:9" x14ac:dyDescent="0.2">
      <c r="A1509" s="30"/>
      <c r="H1509" s="5">
        <f t="shared" si="73"/>
        <v>0</v>
      </c>
      <c r="I1509" s="5">
        <f t="shared" si="74"/>
        <v>0</v>
      </c>
    </row>
    <row r="1510" spans="1:9" x14ac:dyDescent="0.2">
      <c r="A1510" s="30"/>
      <c r="H1510" s="5">
        <f t="shared" si="73"/>
        <v>0</v>
      </c>
      <c r="I1510" s="5">
        <f t="shared" si="74"/>
        <v>0</v>
      </c>
    </row>
    <row r="1511" spans="1:9" x14ac:dyDescent="0.2">
      <c r="A1511" s="30"/>
      <c r="H1511" s="5">
        <f t="shared" si="73"/>
        <v>0</v>
      </c>
      <c r="I1511" s="5">
        <f t="shared" si="74"/>
        <v>0</v>
      </c>
    </row>
    <row r="1512" spans="1:9" x14ac:dyDescent="0.2">
      <c r="A1512" s="30"/>
      <c r="H1512" s="5">
        <f t="shared" si="73"/>
        <v>0</v>
      </c>
      <c r="I1512" s="5">
        <f t="shared" si="74"/>
        <v>0</v>
      </c>
    </row>
    <row r="1513" spans="1:9" x14ac:dyDescent="0.2">
      <c r="A1513" s="30"/>
      <c r="H1513" s="5">
        <f t="shared" si="73"/>
        <v>0</v>
      </c>
      <c r="I1513" s="5">
        <f t="shared" si="74"/>
        <v>0</v>
      </c>
    </row>
    <row r="1514" spans="1:9" x14ac:dyDescent="0.2">
      <c r="A1514" s="30"/>
      <c r="H1514" s="5">
        <f t="shared" si="73"/>
        <v>0</v>
      </c>
      <c r="I1514" s="5">
        <f t="shared" si="74"/>
        <v>0</v>
      </c>
    </row>
    <row r="1515" spans="1:9" x14ac:dyDescent="0.2">
      <c r="A1515" s="30"/>
      <c r="H1515" s="5">
        <f t="shared" si="73"/>
        <v>0</v>
      </c>
      <c r="I1515" s="5">
        <f t="shared" si="74"/>
        <v>0</v>
      </c>
    </row>
    <row r="1516" spans="1:9" x14ac:dyDescent="0.2">
      <c r="A1516" s="30"/>
      <c r="H1516" s="5">
        <f t="shared" si="73"/>
        <v>0</v>
      </c>
      <c r="I1516" s="5">
        <f t="shared" si="74"/>
        <v>0</v>
      </c>
    </row>
    <row r="1517" spans="1:9" x14ac:dyDescent="0.2">
      <c r="A1517" s="30"/>
      <c r="H1517" s="5">
        <f t="shared" si="73"/>
        <v>0</v>
      </c>
      <c r="I1517" s="5">
        <f t="shared" si="74"/>
        <v>0</v>
      </c>
    </row>
    <row r="1518" spans="1:9" x14ac:dyDescent="0.2">
      <c r="A1518" s="30"/>
      <c r="H1518" s="5">
        <f t="shared" si="73"/>
        <v>0</v>
      </c>
      <c r="I1518" s="5">
        <f t="shared" si="74"/>
        <v>0</v>
      </c>
    </row>
    <row r="1519" spans="1:9" x14ac:dyDescent="0.2">
      <c r="A1519" s="30"/>
      <c r="H1519" s="5">
        <f t="shared" si="73"/>
        <v>0</v>
      </c>
      <c r="I1519" s="5">
        <f t="shared" si="74"/>
        <v>0</v>
      </c>
    </row>
    <row r="1520" spans="1:9" x14ac:dyDescent="0.2">
      <c r="A1520" s="30"/>
      <c r="H1520" s="5">
        <f t="shared" si="73"/>
        <v>0</v>
      </c>
      <c r="I1520" s="5">
        <f t="shared" si="74"/>
        <v>0</v>
      </c>
    </row>
    <row r="1521" spans="1:9" x14ac:dyDescent="0.2">
      <c r="A1521" s="30"/>
      <c r="H1521" s="5">
        <f t="shared" si="73"/>
        <v>0</v>
      </c>
      <c r="I1521" s="5">
        <f t="shared" si="74"/>
        <v>0</v>
      </c>
    </row>
    <row r="1522" spans="1:9" x14ac:dyDescent="0.2">
      <c r="A1522" s="30"/>
      <c r="H1522" s="5">
        <f t="shared" si="73"/>
        <v>0</v>
      </c>
      <c r="I1522" s="5">
        <f t="shared" si="74"/>
        <v>0</v>
      </c>
    </row>
    <row r="1523" spans="1:9" x14ac:dyDescent="0.2">
      <c r="A1523" s="30"/>
      <c r="H1523" s="5">
        <f t="shared" si="73"/>
        <v>0</v>
      </c>
      <c r="I1523" s="5">
        <f t="shared" si="74"/>
        <v>0</v>
      </c>
    </row>
    <row r="1524" spans="1:9" x14ac:dyDescent="0.2">
      <c r="A1524" s="30"/>
      <c r="H1524" s="5">
        <f t="shared" si="73"/>
        <v>0</v>
      </c>
      <c r="I1524" s="5">
        <f t="shared" si="74"/>
        <v>0</v>
      </c>
    </row>
    <row r="1525" spans="1:9" x14ac:dyDescent="0.2">
      <c r="A1525" s="30"/>
      <c r="H1525" s="5">
        <f t="shared" si="73"/>
        <v>0</v>
      </c>
      <c r="I1525" s="5">
        <f t="shared" si="74"/>
        <v>0</v>
      </c>
    </row>
    <row r="1526" spans="1:9" x14ac:dyDescent="0.2">
      <c r="A1526" s="30"/>
      <c r="H1526" s="5">
        <f t="shared" si="73"/>
        <v>0</v>
      </c>
      <c r="I1526" s="5">
        <f t="shared" si="74"/>
        <v>0</v>
      </c>
    </row>
    <row r="1527" spans="1:9" x14ac:dyDescent="0.2">
      <c r="A1527" s="30"/>
      <c r="H1527" s="5">
        <f t="shared" si="73"/>
        <v>0</v>
      </c>
      <c r="I1527" s="5">
        <f t="shared" si="74"/>
        <v>0</v>
      </c>
    </row>
    <row r="1528" spans="1:9" x14ac:dyDescent="0.2">
      <c r="A1528" s="30"/>
      <c r="H1528" s="5">
        <f t="shared" si="73"/>
        <v>0</v>
      </c>
      <c r="I1528" s="5">
        <f t="shared" si="74"/>
        <v>0</v>
      </c>
    </row>
    <row r="1529" spans="1:9" x14ac:dyDescent="0.2">
      <c r="A1529" s="30"/>
      <c r="H1529" s="5">
        <f t="shared" si="73"/>
        <v>0</v>
      </c>
      <c r="I1529" s="5">
        <f t="shared" si="74"/>
        <v>0</v>
      </c>
    </row>
    <row r="1530" spans="1:9" x14ac:dyDescent="0.2">
      <c r="A1530" s="30"/>
      <c r="H1530" s="5">
        <f t="shared" si="73"/>
        <v>0</v>
      </c>
      <c r="I1530" s="5">
        <f t="shared" si="74"/>
        <v>0</v>
      </c>
    </row>
    <row r="1531" spans="1:9" x14ac:dyDescent="0.2">
      <c r="A1531" s="30"/>
      <c r="H1531" s="5">
        <f t="shared" si="73"/>
        <v>0</v>
      </c>
      <c r="I1531" s="5">
        <f t="shared" si="74"/>
        <v>0</v>
      </c>
    </row>
    <row r="1532" spans="1:9" x14ac:dyDescent="0.2">
      <c r="A1532" s="30"/>
      <c r="H1532" s="5">
        <f t="shared" si="73"/>
        <v>0</v>
      </c>
      <c r="I1532" s="5">
        <f t="shared" si="74"/>
        <v>0</v>
      </c>
    </row>
    <row r="1533" spans="1:9" x14ac:dyDescent="0.2">
      <c r="A1533" s="30"/>
      <c r="H1533" s="5">
        <f t="shared" si="73"/>
        <v>0</v>
      </c>
      <c r="I1533" s="5">
        <f t="shared" si="74"/>
        <v>0</v>
      </c>
    </row>
    <row r="1534" spans="1:9" x14ac:dyDescent="0.2">
      <c r="A1534" s="30"/>
      <c r="H1534" s="5">
        <f t="shared" si="73"/>
        <v>0</v>
      </c>
      <c r="I1534" s="5">
        <f t="shared" si="74"/>
        <v>0</v>
      </c>
    </row>
    <row r="1535" spans="1:9" x14ac:dyDescent="0.2">
      <c r="A1535" s="30"/>
      <c r="H1535" s="5">
        <f t="shared" si="73"/>
        <v>0</v>
      </c>
      <c r="I1535" s="5">
        <f t="shared" si="74"/>
        <v>0</v>
      </c>
    </row>
    <row r="1536" spans="1:9" x14ac:dyDescent="0.2">
      <c r="A1536" s="30"/>
      <c r="H1536" s="5">
        <f t="shared" ref="H1536:H1599" si="75">+G1536-E1536</f>
        <v>0</v>
      </c>
      <c r="I1536" s="5">
        <f t="shared" ref="I1536:I1599" si="76">G1536-F1536</f>
        <v>0</v>
      </c>
    </row>
    <row r="1537" spans="1:9" x14ac:dyDescent="0.2">
      <c r="A1537" s="30"/>
      <c r="H1537" s="5">
        <f t="shared" si="75"/>
        <v>0</v>
      </c>
      <c r="I1537" s="5">
        <f t="shared" si="76"/>
        <v>0</v>
      </c>
    </row>
    <row r="1538" spans="1:9" x14ac:dyDescent="0.2">
      <c r="A1538" s="30"/>
      <c r="H1538" s="5">
        <f t="shared" si="75"/>
        <v>0</v>
      </c>
      <c r="I1538" s="5">
        <f t="shared" si="76"/>
        <v>0</v>
      </c>
    </row>
    <row r="1539" spans="1:9" x14ac:dyDescent="0.2">
      <c r="A1539" s="30"/>
      <c r="H1539" s="5">
        <f t="shared" si="75"/>
        <v>0</v>
      </c>
      <c r="I1539" s="5">
        <f t="shared" si="76"/>
        <v>0</v>
      </c>
    </row>
    <row r="1540" spans="1:9" x14ac:dyDescent="0.2">
      <c r="A1540" s="30"/>
      <c r="H1540" s="5">
        <f t="shared" si="75"/>
        <v>0</v>
      </c>
      <c r="I1540" s="5">
        <f t="shared" si="76"/>
        <v>0</v>
      </c>
    </row>
    <row r="1541" spans="1:9" x14ac:dyDescent="0.2">
      <c r="A1541" s="30"/>
      <c r="H1541" s="5">
        <f t="shared" si="75"/>
        <v>0</v>
      </c>
      <c r="I1541" s="5">
        <f t="shared" si="76"/>
        <v>0</v>
      </c>
    </row>
    <row r="1542" spans="1:9" x14ac:dyDescent="0.2">
      <c r="A1542" s="30"/>
      <c r="H1542" s="5">
        <f t="shared" si="75"/>
        <v>0</v>
      </c>
      <c r="I1542" s="5">
        <f t="shared" si="76"/>
        <v>0</v>
      </c>
    </row>
    <row r="1543" spans="1:9" x14ac:dyDescent="0.2">
      <c r="A1543" s="30"/>
      <c r="H1543" s="5">
        <f t="shared" si="75"/>
        <v>0</v>
      </c>
      <c r="I1543" s="5">
        <f t="shared" si="76"/>
        <v>0</v>
      </c>
    </row>
    <row r="1544" spans="1:9" x14ac:dyDescent="0.2">
      <c r="A1544" s="30"/>
      <c r="H1544" s="5">
        <f t="shared" si="75"/>
        <v>0</v>
      </c>
      <c r="I1544" s="5">
        <f t="shared" si="76"/>
        <v>0</v>
      </c>
    </row>
    <row r="1545" spans="1:9" x14ac:dyDescent="0.2">
      <c r="A1545" s="30"/>
      <c r="H1545" s="5">
        <f t="shared" si="75"/>
        <v>0</v>
      </c>
      <c r="I1545" s="5">
        <f t="shared" si="76"/>
        <v>0</v>
      </c>
    </row>
    <row r="1546" spans="1:9" x14ac:dyDescent="0.2">
      <c r="A1546" s="30"/>
      <c r="H1546" s="5">
        <f t="shared" si="75"/>
        <v>0</v>
      </c>
      <c r="I1546" s="5">
        <f t="shared" si="76"/>
        <v>0</v>
      </c>
    </row>
    <row r="1547" spans="1:9" x14ac:dyDescent="0.2">
      <c r="A1547" s="30"/>
      <c r="H1547" s="5">
        <f t="shared" si="75"/>
        <v>0</v>
      </c>
      <c r="I1547" s="5">
        <f t="shared" si="76"/>
        <v>0</v>
      </c>
    </row>
    <row r="1548" spans="1:9" x14ac:dyDescent="0.2">
      <c r="A1548" s="30"/>
      <c r="H1548" s="5">
        <f t="shared" si="75"/>
        <v>0</v>
      </c>
      <c r="I1548" s="5">
        <f t="shared" si="76"/>
        <v>0</v>
      </c>
    </row>
    <row r="1549" spans="1:9" x14ac:dyDescent="0.2">
      <c r="A1549" s="30"/>
      <c r="H1549" s="5">
        <f t="shared" si="75"/>
        <v>0</v>
      </c>
      <c r="I1549" s="5">
        <f t="shared" si="76"/>
        <v>0</v>
      </c>
    </row>
    <row r="1550" spans="1:9" x14ac:dyDescent="0.2">
      <c r="A1550" s="30"/>
      <c r="H1550" s="5">
        <f t="shared" si="75"/>
        <v>0</v>
      </c>
      <c r="I1550" s="5">
        <f t="shared" si="76"/>
        <v>0</v>
      </c>
    </row>
    <row r="1551" spans="1:9" x14ac:dyDescent="0.2">
      <c r="A1551" s="30"/>
      <c r="H1551" s="5">
        <f t="shared" si="75"/>
        <v>0</v>
      </c>
      <c r="I1551" s="5">
        <f t="shared" si="76"/>
        <v>0</v>
      </c>
    </row>
    <row r="1552" spans="1:9" x14ac:dyDescent="0.2">
      <c r="A1552" s="30"/>
      <c r="H1552" s="5">
        <f t="shared" si="75"/>
        <v>0</v>
      </c>
      <c r="I1552" s="5">
        <f t="shared" si="76"/>
        <v>0</v>
      </c>
    </row>
    <row r="1553" spans="1:9" x14ac:dyDescent="0.2">
      <c r="A1553" s="30"/>
      <c r="H1553" s="5">
        <f t="shared" si="75"/>
        <v>0</v>
      </c>
      <c r="I1553" s="5">
        <f t="shared" si="76"/>
        <v>0</v>
      </c>
    </row>
    <row r="1554" spans="1:9" x14ac:dyDescent="0.2">
      <c r="A1554" s="30"/>
      <c r="H1554" s="5">
        <f t="shared" si="75"/>
        <v>0</v>
      </c>
      <c r="I1554" s="5">
        <f t="shared" si="76"/>
        <v>0</v>
      </c>
    </row>
    <row r="1555" spans="1:9" x14ac:dyDescent="0.2">
      <c r="A1555" s="30"/>
      <c r="H1555" s="5">
        <f t="shared" si="75"/>
        <v>0</v>
      </c>
      <c r="I1555" s="5">
        <f t="shared" si="76"/>
        <v>0</v>
      </c>
    </row>
    <row r="1556" spans="1:9" x14ac:dyDescent="0.2">
      <c r="A1556" s="30"/>
      <c r="H1556" s="5">
        <f t="shared" si="75"/>
        <v>0</v>
      </c>
      <c r="I1556" s="5">
        <f t="shared" si="76"/>
        <v>0</v>
      </c>
    </row>
    <row r="1557" spans="1:9" x14ac:dyDescent="0.2">
      <c r="A1557" s="30"/>
      <c r="H1557" s="5">
        <f t="shared" si="75"/>
        <v>0</v>
      </c>
      <c r="I1557" s="5">
        <f t="shared" si="76"/>
        <v>0</v>
      </c>
    </row>
    <row r="1558" spans="1:9" x14ac:dyDescent="0.2">
      <c r="A1558" s="30"/>
      <c r="H1558" s="5">
        <f t="shared" si="75"/>
        <v>0</v>
      </c>
      <c r="I1558" s="5">
        <f t="shared" si="76"/>
        <v>0</v>
      </c>
    </row>
    <row r="1559" spans="1:9" x14ac:dyDescent="0.2">
      <c r="A1559" s="30"/>
      <c r="H1559" s="5">
        <f t="shared" si="75"/>
        <v>0</v>
      </c>
      <c r="I1559" s="5">
        <f t="shared" si="76"/>
        <v>0</v>
      </c>
    </row>
    <row r="1560" spans="1:9" x14ac:dyDescent="0.2">
      <c r="A1560" s="30"/>
      <c r="H1560" s="5">
        <f t="shared" si="75"/>
        <v>0</v>
      </c>
      <c r="I1560" s="5">
        <f t="shared" si="76"/>
        <v>0</v>
      </c>
    </row>
    <row r="1561" spans="1:9" x14ac:dyDescent="0.2">
      <c r="A1561" s="30"/>
      <c r="H1561" s="5">
        <f t="shared" si="75"/>
        <v>0</v>
      </c>
      <c r="I1561" s="5">
        <f t="shared" si="76"/>
        <v>0</v>
      </c>
    </row>
    <row r="1562" spans="1:9" x14ac:dyDescent="0.2">
      <c r="A1562" s="30"/>
      <c r="H1562" s="5">
        <f t="shared" si="75"/>
        <v>0</v>
      </c>
      <c r="I1562" s="5">
        <f t="shared" si="76"/>
        <v>0</v>
      </c>
    </row>
    <row r="1563" spans="1:9" x14ac:dyDescent="0.2">
      <c r="A1563" s="30"/>
      <c r="H1563" s="5">
        <f t="shared" si="75"/>
        <v>0</v>
      </c>
      <c r="I1563" s="5">
        <f t="shared" si="76"/>
        <v>0</v>
      </c>
    </row>
    <row r="1564" spans="1:9" x14ac:dyDescent="0.2">
      <c r="A1564" s="30"/>
      <c r="H1564" s="5">
        <f t="shared" si="75"/>
        <v>0</v>
      </c>
      <c r="I1564" s="5">
        <f t="shared" si="76"/>
        <v>0</v>
      </c>
    </row>
    <row r="1565" spans="1:9" x14ac:dyDescent="0.2">
      <c r="A1565" s="30"/>
      <c r="H1565" s="5">
        <f t="shared" si="75"/>
        <v>0</v>
      </c>
      <c r="I1565" s="5">
        <f t="shared" si="76"/>
        <v>0</v>
      </c>
    </row>
    <row r="1566" spans="1:9" x14ac:dyDescent="0.2">
      <c r="A1566" s="30"/>
      <c r="H1566" s="5">
        <f t="shared" si="75"/>
        <v>0</v>
      </c>
      <c r="I1566" s="5">
        <f t="shared" si="76"/>
        <v>0</v>
      </c>
    </row>
    <row r="1567" spans="1:9" x14ac:dyDescent="0.2">
      <c r="A1567" s="30"/>
      <c r="H1567" s="5">
        <f t="shared" si="75"/>
        <v>0</v>
      </c>
      <c r="I1567" s="5">
        <f t="shared" si="76"/>
        <v>0</v>
      </c>
    </row>
    <row r="1568" spans="1:9" x14ac:dyDescent="0.2">
      <c r="A1568" s="30"/>
      <c r="H1568" s="5">
        <f t="shared" si="75"/>
        <v>0</v>
      </c>
      <c r="I1568" s="5">
        <f t="shared" si="76"/>
        <v>0</v>
      </c>
    </row>
    <row r="1569" spans="1:9" x14ac:dyDescent="0.2">
      <c r="A1569" s="30"/>
      <c r="H1569" s="5">
        <f t="shared" si="75"/>
        <v>0</v>
      </c>
      <c r="I1569" s="5">
        <f t="shared" si="76"/>
        <v>0</v>
      </c>
    </row>
    <row r="1570" spans="1:9" x14ac:dyDescent="0.2">
      <c r="A1570" s="30"/>
      <c r="H1570" s="5">
        <f t="shared" si="75"/>
        <v>0</v>
      </c>
      <c r="I1570" s="5">
        <f t="shared" si="76"/>
        <v>0</v>
      </c>
    </row>
    <row r="1571" spans="1:9" x14ac:dyDescent="0.2">
      <c r="A1571" s="30"/>
      <c r="H1571" s="5">
        <f t="shared" si="75"/>
        <v>0</v>
      </c>
      <c r="I1571" s="5">
        <f t="shared" si="76"/>
        <v>0</v>
      </c>
    </row>
    <row r="1572" spans="1:9" x14ac:dyDescent="0.2">
      <c r="A1572" s="30"/>
      <c r="H1572" s="5">
        <f t="shared" si="75"/>
        <v>0</v>
      </c>
      <c r="I1572" s="5">
        <f t="shared" si="76"/>
        <v>0</v>
      </c>
    </row>
    <row r="1573" spans="1:9" x14ac:dyDescent="0.2">
      <c r="A1573" s="30"/>
      <c r="H1573" s="5">
        <f t="shared" si="75"/>
        <v>0</v>
      </c>
      <c r="I1573" s="5">
        <f t="shared" si="76"/>
        <v>0</v>
      </c>
    </row>
    <row r="1574" spans="1:9" x14ac:dyDescent="0.2">
      <c r="A1574" s="30"/>
      <c r="H1574" s="5">
        <f t="shared" si="75"/>
        <v>0</v>
      </c>
      <c r="I1574" s="5">
        <f t="shared" si="76"/>
        <v>0</v>
      </c>
    </row>
    <row r="1575" spans="1:9" x14ac:dyDescent="0.2">
      <c r="A1575" s="30"/>
      <c r="H1575" s="5">
        <f t="shared" si="75"/>
        <v>0</v>
      </c>
      <c r="I1575" s="5">
        <f t="shared" si="76"/>
        <v>0</v>
      </c>
    </row>
    <row r="1576" spans="1:9" x14ac:dyDescent="0.2">
      <c r="A1576" s="30"/>
      <c r="H1576" s="5">
        <f t="shared" si="75"/>
        <v>0</v>
      </c>
      <c r="I1576" s="5">
        <f t="shared" si="76"/>
        <v>0</v>
      </c>
    </row>
    <row r="1577" spans="1:9" x14ac:dyDescent="0.2">
      <c r="A1577" s="30"/>
      <c r="H1577" s="5">
        <f t="shared" si="75"/>
        <v>0</v>
      </c>
      <c r="I1577" s="5">
        <f t="shared" si="76"/>
        <v>0</v>
      </c>
    </row>
    <row r="1578" spans="1:9" x14ac:dyDescent="0.2">
      <c r="A1578" s="30"/>
      <c r="H1578" s="5">
        <f t="shared" si="75"/>
        <v>0</v>
      </c>
      <c r="I1578" s="5">
        <f t="shared" si="76"/>
        <v>0</v>
      </c>
    </row>
    <row r="1579" spans="1:9" x14ac:dyDescent="0.2">
      <c r="A1579" s="30"/>
      <c r="H1579" s="5">
        <f t="shared" si="75"/>
        <v>0</v>
      </c>
      <c r="I1579" s="5">
        <f t="shared" si="76"/>
        <v>0</v>
      </c>
    </row>
    <row r="1580" spans="1:9" x14ac:dyDescent="0.2">
      <c r="A1580" s="30"/>
      <c r="H1580" s="5">
        <f t="shared" si="75"/>
        <v>0</v>
      </c>
      <c r="I1580" s="5">
        <f t="shared" si="76"/>
        <v>0</v>
      </c>
    </row>
    <row r="1581" spans="1:9" x14ac:dyDescent="0.2">
      <c r="A1581" s="30"/>
      <c r="H1581" s="5">
        <f t="shared" si="75"/>
        <v>0</v>
      </c>
      <c r="I1581" s="5">
        <f t="shared" si="76"/>
        <v>0</v>
      </c>
    </row>
    <row r="1582" spans="1:9" x14ac:dyDescent="0.2">
      <c r="A1582" s="30"/>
      <c r="H1582" s="5">
        <f t="shared" si="75"/>
        <v>0</v>
      </c>
      <c r="I1582" s="5">
        <f t="shared" si="76"/>
        <v>0</v>
      </c>
    </row>
    <row r="1583" spans="1:9" x14ac:dyDescent="0.2">
      <c r="A1583" s="30"/>
      <c r="H1583" s="5">
        <f t="shared" si="75"/>
        <v>0</v>
      </c>
      <c r="I1583" s="5">
        <f t="shared" si="76"/>
        <v>0</v>
      </c>
    </row>
    <row r="1584" spans="1:9" x14ac:dyDescent="0.2">
      <c r="A1584" s="30"/>
      <c r="H1584" s="5">
        <f t="shared" si="75"/>
        <v>0</v>
      </c>
      <c r="I1584" s="5">
        <f t="shared" si="76"/>
        <v>0</v>
      </c>
    </row>
    <row r="1585" spans="1:9" x14ac:dyDescent="0.2">
      <c r="A1585" s="30"/>
      <c r="H1585" s="5">
        <f t="shared" si="75"/>
        <v>0</v>
      </c>
      <c r="I1585" s="5">
        <f t="shared" si="76"/>
        <v>0</v>
      </c>
    </row>
    <row r="1586" spans="1:9" x14ac:dyDescent="0.2">
      <c r="A1586" s="30"/>
      <c r="H1586" s="5">
        <f t="shared" si="75"/>
        <v>0</v>
      </c>
      <c r="I1586" s="5">
        <f t="shared" si="76"/>
        <v>0</v>
      </c>
    </row>
    <row r="1587" spans="1:9" x14ac:dyDescent="0.2">
      <c r="A1587" s="30"/>
      <c r="H1587" s="5">
        <f t="shared" si="75"/>
        <v>0</v>
      </c>
      <c r="I1587" s="5">
        <f t="shared" si="76"/>
        <v>0</v>
      </c>
    </row>
    <row r="1588" spans="1:9" x14ac:dyDescent="0.2">
      <c r="A1588" s="30"/>
      <c r="H1588" s="5">
        <f t="shared" si="75"/>
        <v>0</v>
      </c>
      <c r="I1588" s="5">
        <f t="shared" si="76"/>
        <v>0</v>
      </c>
    </row>
    <row r="1589" spans="1:9" x14ac:dyDescent="0.2">
      <c r="A1589" s="30"/>
      <c r="H1589" s="5">
        <f t="shared" si="75"/>
        <v>0</v>
      </c>
      <c r="I1589" s="5">
        <f t="shared" si="76"/>
        <v>0</v>
      </c>
    </row>
    <row r="1590" spans="1:9" x14ac:dyDescent="0.2">
      <c r="A1590" s="30"/>
      <c r="H1590" s="5">
        <f t="shared" si="75"/>
        <v>0</v>
      </c>
      <c r="I1590" s="5">
        <f t="shared" si="76"/>
        <v>0</v>
      </c>
    </row>
    <row r="1591" spans="1:9" x14ac:dyDescent="0.2">
      <c r="A1591" s="30"/>
      <c r="H1591" s="5">
        <f t="shared" si="75"/>
        <v>0</v>
      </c>
      <c r="I1591" s="5">
        <f t="shared" si="76"/>
        <v>0</v>
      </c>
    </row>
    <row r="1592" spans="1:9" x14ac:dyDescent="0.2">
      <c r="A1592" s="30"/>
      <c r="H1592" s="5">
        <f t="shared" si="75"/>
        <v>0</v>
      </c>
      <c r="I1592" s="5">
        <f t="shared" si="76"/>
        <v>0</v>
      </c>
    </row>
    <row r="1593" spans="1:9" x14ac:dyDescent="0.2">
      <c r="H1593" s="5">
        <f t="shared" si="75"/>
        <v>0</v>
      </c>
      <c r="I1593" s="5">
        <f t="shared" si="76"/>
        <v>0</v>
      </c>
    </row>
    <row r="1594" spans="1:9" x14ac:dyDescent="0.2">
      <c r="H1594" s="5">
        <f t="shared" si="75"/>
        <v>0</v>
      </c>
      <c r="I1594" s="5">
        <f t="shared" si="76"/>
        <v>0</v>
      </c>
    </row>
    <row r="1595" spans="1:9" x14ac:dyDescent="0.2">
      <c r="H1595" s="5">
        <f t="shared" si="75"/>
        <v>0</v>
      </c>
      <c r="I1595" s="5">
        <f t="shared" si="76"/>
        <v>0</v>
      </c>
    </row>
    <row r="1596" spans="1:9" x14ac:dyDescent="0.2">
      <c r="H1596" s="5">
        <f t="shared" si="75"/>
        <v>0</v>
      </c>
      <c r="I1596" s="5">
        <f t="shared" si="76"/>
        <v>0</v>
      </c>
    </row>
    <row r="1597" spans="1:9" x14ac:dyDescent="0.2">
      <c r="H1597" s="5">
        <f t="shared" si="75"/>
        <v>0</v>
      </c>
      <c r="I1597" s="5">
        <f t="shared" si="76"/>
        <v>0</v>
      </c>
    </row>
    <row r="1598" spans="1:9" x14ac:dyDescent="0.2">
      <c r="H1598" s="5">
        <f t="shared" si="75"/>
        <v>0</v>
      </c>
      <c r="I1598" s="5">
        <f t="shared" si="76"/>
        <v>0</v>
      </c>
    </row>
    <row r="1599" spans="1:9" x14ac:dyDescent="0.2">
      <c r="H1599" s="5">
        <f t="shared" si="75"/>
        <v>0</v>
      </c>
      <c r="I1599" s="5">
        <f t="shared" si="76"/>
        <v>0</v>
      </c>
    </row>
    <row r="1600" spans="1:9" x14ac:dyDescent="0.2">
      <c r="H1600" s="5">
        <f t="shared" ref="H1600:H1663" si="77">+G1600-E1600</f>
        <v>0</v>
      </c>
      <c r="I1600" s="5">
        <f t="shared" ref="I1600:I1663" si="78">G1600-F1600</f>
        <v>0</v>
      </c>
    </row>
    <row r="1601" spans="8:9" x14ac:dyDescent="0.2">
      <c r="H1601" s="5">
        <f t="shared" si="77"/>
        <v>0</v>
      </c>
      <c r="I1601" s="5">
        <f t="shared" si="78"/>
        <v>0</v>
      </c>
    </row>
    <row r="1602" spans="8:9" x14ac:dyDescent="0.2">
      <c r="H1602" s="5">
        <f t="shared" si="77"/>
        <v>0</v>
      </c>
      <c r="I1602" s="5">
        <f t="shared" si="78"/>
        <v>0</v>
      </c>
    </row>
    <row r="1603" spans="8:9" x14ac:dyDescent="0.2">
      <c r="H1603" s="5">
        <f t="shared" si="77"/>
        <v>0</v>
      </c>
      <c r="I1603" s="5">
        <f t="shared" si="78"/>
        <v>0</v>
      </c>
    </row>
    <row r="1604" spans="8:9" x14ac:dyDescent="0.2">
      <c r="H1604" s="5">
        <f t="shared" si="77"/>
        <v>0</v>
      </c>
      <c r="I1604" s="5">
        <f t="shared" si="78"/>
        <v>0</v>
      </c>
    </row>
    <row r="1605" spans="8:9" x14ac:dyDescent="0.2">
      <c r="H1605" s="5">
        <f t="shared" si="77"/>
        <v>0</v>
      </c>
      <c r="I1605" s="5">
        <f t="shared" si="78"/>
        <v>0</v>
      </c>
    </row>
    <row r="1606" spans="8:9" x14ac:dyDescent="0.2">
      <c r="H1606" s="5">
        <f t="shared" si="77"/>
        <v>0</v>
      </c>
      <c r="I1606" s="5">
        <f t="shared" si="78"/>
        <v>0</v>
      </c>
    </row>
    <row r="1607" spans="8:9" x14ac:dyDescent="0.2">
      <c r="H1607" s="5">
        <f t="shared" si="77"/>
        <v>0</v>
      </c>
      <c r="I1607" s="5">
        <f t="shared" si="78"/>
        <v>0</v>
      </c>
    </row>
    <row r="1608" spans="8:9" x14ac:dyDescent="0.2">
      <c r="H1608" s="5">
        <f t="shared" si="77"/>
        <v>0</v>
      </c>
      <c r="I1608" s="5">
        <f t="shared" si="78"/>
        <v>0</v>
      </c>
    </row>
    <row r="1609" spans="8:9" x14ac:dyDescent="0.2">
      <c r="H1609" s="5">
        <f t="shared" si="77"/>
        <v>0</v>
      </c>
      <c r="I1609" s="5">
        <f t="shared" si="78"/>
        <v>0</v>
      </c>
    </row>
    <row r="1610" spans="8:9" x14ac:dyDescent="0.2">
      <c r="H1610" s="5">
        <f t="shared" si="77"/>
        <v>0</v>
      </c>
      <c r="I1610" s="5">
        <f t="shared" si="78"/>
        <v>0</v>
      </c>
    </row>
    <row r="1611" spans="8:9" x14ac:dyDescent="0.2">
      <c r="H1611" s="5">
        <f t="shared" si="77"/>
        <v>0</v>
      </c>
      <c r="I1611" s="5">
        <f t="shared" si="78"/>
        <v>0</v>
      </c>
    </row>
    <row r="1612" spans="8:9" x14ac:dyDescent="0.2">
      <c r="H1612" s="5">
        <f t="shared" si="77"/>
        <v>0</v>
      </c>
      <c r="I1612" s="5">
        <f t="shared" si="78"/>
        <v>0</v>
      </c>
    </row>
    <row r="1613" spans="8:9" x14ac:dyDescent="0.2">
      <c r="H1613" s="5">
        <f t="shared" si="77"/>
        <v>0</v>
      </c>
      <c r="I1613" s="5">
        <f t="shared" si="78"/>
        <v>0</v>
      </c>
    </row>
    <row r="1614" spans="8:9" x14ac:dyDescent="0.2">
      <c r="H1614" s="5">
        <f t="shared" si="77"/>
        <v>0</v>
      </c>
      <c r="I1614" s="5">
        <f t="shared" si="78"/>
        <v>0</v>
      </c>
    </row>
    <row r="1615" spans="8:9" x14ac:dyDescent="0.2">
      <c r="H1615" s="5">
        <f t="shared" si="77"/>
        <v>0</v>
      </c>
      <c r="I1615" s="5">
        <f t="shared" si="78"/>
        <v>0</v>
      </c>
    </row>
    <row r="1616" spans="8:9" x14ac:dyDescent="0.2">
      <c r="H1616" s="5">
        <f t="shared" si="77"/>
        <v>0</v>
      </c>
      <c r="I1616" s="5">
        <f t="shared" si="78"/>
        <v>0</v>
      </c>
    </row>
    <row r="1617" spans="8:9" x14ac:dyDescent="0.2">
      <c r="H1617" s="5">
        <f t="shared" si="77"/>
        <v>0</v>
      </c>
      <c r="I1617" s="5">
        <f t="shared" si="78"/>
        <v>0</v>
      </c>
    </row>
    <row r="1618" spans="8:9" x14ac:dyDescent="0.2">
      <c r="H1618" s="5">
        <f t="shared" si="77"/>
        <v>0</v>
      </c>
      <c r="I1618" s="5">
        <f t="shared" si="78"/>
        <v>0</v>
      </c>
    </row>
    <row r="1619" spans="8:9" x14ac:dyDescent="0.2">
      <c r="H1619" s="5">
        <f t="shared" si="77"/>
        <v>0</v>
      </c>
      <c r="I1619" s="5">
        <f t="shared" si="78"/>
        <v>0</v>
      </c>
    </row>
    <row r="1620" spans="8:9" x14ac:dyDescent="0.2">
      <c r="H1620" s="5">
        <f t="shared" si="77"/>
        <v>0</v>
      </c>
      <c r="I1620" s="5">
        <f t="shared" si="78"/>
        <v>0</v>
      </c>
    </row>
    <row r="1621" spans="8:9" x14ac:dyDescent="0.2">
      <c r="H1621" s="5">
        <f t="shared" si="77"/>
        <v>0</v>
      </c>
      <c r="I1621" s="5">
        <f t="shared" si="78"/>
        <v>0</v>
      </c>
    </row>
    <row r="1622" spans="8:9" x14ac:dyDescent="0.2">
      <c r="H1622" s="5">
        <f t="shared" si="77"/>
        <v>0</v>
      </c>
      <c r="I1622" s="5">
        <f t="shared" si="78"/>
        <v>0</v>
      </c>
    </row>
    <row r="1623" spans="8:9" x14ac:dyDescent="0.2">
      <c r="H1623" s="5">
        <f t="shared" si="77"/>
        <v>0</v>
      </c>
      <c r="I1623" s="5">
        <f t="shared" si="78"/>
        <v>0</v>
      </c>
    </row>
    <row r="1624" spans="8:9" x14ac:dyDescent="0.2">
      <c r="H1624" s="5">
        <f t="shared" si="77"/>
        <v>0</v>
      </c>
      <c r="I1624" s="5">
        <f t="shared" si="78"/>
        <v>0</v>
      </c>
    </row>
    <row r="1625" spans="8:9" x14ac:dyDescent="0.2">
      <c r="H1625" s="5">
        <f t="shared" si="77"/>
        <v>0</v>
      </c>
      <c r="I1625" s="5">
        <f t="shared" si="78"/>
        <v>0</v>
      </c>
    </row>
    <row r="1626" spans="8:9" x14ac:dyDescent="0.2">
      <c r="H1626" s="5">
        <f t="shared" si="77"/>
        <v>0</v>
      </c>
      <c r="I1626" s="5">
        <f t="shared" si="78"/>
        <v>0</v>
      </c>
    </row>
    <row r="1627" spans="8:9" x14ac:dyDescent="0.2">
      <c r="H1627" s="5">
        <f t="shared" si="77"/>
        <v>0</v>
      </c>
      <c r="I1627" s="5">
        <f t="shared" si="78"/>
        <v>0</v>
      </c>
    </row>
    <row r="1628" spans="8:9" x14ac:dyDescent="0.2">
      <c r="H1628" s="5">
        <f t="shared" si="77"/>
        <v>0</v>
      </c>
      <c r="I1628" s="5">
        <f t="shared" si="78"/>
        <v>0</v>
      </c>
    </row>
    <row r="1629" spans="8:9" x14ac:dyDescent="0.2">
      <c r="H1629" s="5">
        <f t="shared" si="77"/>
        <v>0</v>
      </c>
      <c r="I1629" s="5">
        <f t="shared" si="78"/>
        <v>0</v>
      </c>
    </row>
    <row r="1630" spans="8:9" x14ac:dyDescent="0.2">
      <c r="H1630" s="5">
        <f t="shared" si="77"/>
        <v>0</v>
      </c>
      <c r="I1630" s="5">
        <f t="shared" si="78"/>
        <v>0</v>
      </c>
    </row>
    <row r="1631" spans="8:9" x14ac:dyDescent="0.2">
      <c r="H1631" s="5">
        <f t="shared" si="77"/>
        <v>0</v>
      </c>
      <c r="I1631" s="5">
        <f t="shared" si="78"/>
        <v>0</v>
      </c>
    </row>
    <row r="1632" spans="8:9" x14ac:dyDescent="0.2">
      <c r="H1632" s="5">
        <f t="shared" si="77"/>
        <v>0</v>
      </c>
      <c r="I1632" s="5">
        <f t="shared" si="78"/>
        <v>0</v>
      </c>
    </row>
    <row r="1633" spans="8:9" x14ac:dyDescent="0.2">
      <c r="H1633" s="5">
        <f t="shared" si="77"/>
        <v>0</v>
      </c>
      <c r="I1633" s="5">
        <f t="shared" si="78"/>
        <v>0</v>
      </c>
    </row>
    <row r="1634" spans="8:9" x14ac:dyDescent="0.2">
      <c r="H1634" s="5">
        <f t="shared" si="77"/>
        <v>0</v>
      </c>
      <c r="I1634" s="5">
        <f t="shared" si="78"/>
        <v>0</v>
      </c>
    </row>
    <row r="1635" spans="8:9" x14ac:dyDescent="0.2">
      <c r="H1635" s="5">
        <f t="shared" si="77"/>
        <v>0</v>
      </c>
      <c r="I1635" s="5">
        <f t="shared" si="78"/>
        <v>0</v>
      </c>
    </row>
    <row r="1636" spans="8:9" x14ac:dyDescent="0.2">
      <c r="H1636" s="5">
        <f t="shared" si="77"/>
        <v>0</v>
      </c>
      <c r="I1636" s="5">
        <f t="shared" si="78"/>
        <v>0</v>
      </c>
    </row>
    <row r="1637" spans="8:9" x14ac:dyDescent="0.2">
      <c r="H1637" s="5">
        <f t="shared" si="77"/>
        <v>0</v>
      </c>
      <c r="I1637" s="5">
        <f t="shared" si="78"/>
        <v>0</v>
      </c>
    </row>
    <row r="1638" spans="8:9" x14ac:dyDescent="0.2">
      <c r="H1638" s="5">
        <f t="shared" si="77"/>
        <v>0</v>
      </c>
      <c r="I1638" s="5">
        <f t="shared" si="78"/>
        <v>0</v>
      </c>
    </row>
    <row r="1639" spans="8:9" x14ac:dyDescent="0.2">
      <c r="H1639" s="5">
        <f t="shared" si="77"/>
        <v>0</v>
      </c>
      <c r="I1639" s="5">
        <f t="shared" si="78"/>
        <v>0</v>
      </c>
    </row>
    <row r="1640" spans="8:9" x14ac:dyDescent="0.2">
      <c r="H1640" s="5">
        <f t="shared" si="77"/>
        <v>0</v>
      </c>
      <c r="I1640" s="5">
        <f t="shared" si="78"/>
        <v>0</v>
      </c>
    </row>
    <row r="1641" spans="8:9" x14ac:dyDescent="0.2">
      <c r="H1641" s="5">
        <f t="shared" si="77"/>
        <v>0</v>
      </c>
      <c r="I1641" s="5">
        <f t="shared" si="78"/>
        <v>0</v>
      </c>
    </row>
    <row r="1642" spans="8:9" x14ac:dyDescent="0.2">
      <c r="H1642" s="5">
        <f t="shared" si="77"/>
        <v>0</v>
      </c>
      <c r="I1642" s="5">
        <f t="shared" si="78"/>
        <v>0</v>
      </c>
    </row>
    <row r="1643" spans="8:9" x14ac:dyDescent="0.2">
      <c r="H1643" s="5">
        <f t="shared" si="77"/>
        <v>0</v>
      </c>
      <c r="I1643" s="5">
        <f t="shared" si="78"/>
        <v>0</v>
      </c>
    </row>
    <row r="1644" spans="8:9" x14ac:dyDescent="0.2">
      <c r="H1644" s="5">
        <f t="shared" si="77"/>
        <v>0</v>
      </c>
      <c r="I1644" s="5">
        <f t="shared" si="78"/>
        <v>0</v>
      </c>
    </row>
    <row r="1645" spans="8:9" x14ac:dyDescent="0.2">
      <c r="H1645" s="5">
        <f t="shared" si="77"/>
        <v>0</v>
      </c>
      <c r="I1645" s="5">
        <f t="shared" si="78"/>
        <v>0</v>
      </c>
    </row>
    <row r="1646" spans="8:9" x14ac:dyDescent="0.2">
      <c r="H1646" s="5">
        <f t="shared" si="77"/>
        <v>0</v>
      </c>
      <c r="I1646" s="5">
        <f t="shared" si="78"/>
        <v>0</v>
      </c>
    </row>
    <row r="1647" spans="8:9" x14ac:dyDescent="0.2">
      <c r="H1647" s="5">
        <f t="shared" si="77"/>
        <v>0</v>
      </c>
      <c r="I1647" s="5">
        <f t="shared" si="78"/>
        <v>0</v>
      </c>
    </row>
    <row r="1648" spans="8:9" x14ac:dyDescent="0.2">
      <c r="H1648" s="5">
        <f t="shared" si="77"/>
        <v>0</v>
      </c>
      <c r="I1648" s="5">
        <f t="shared" si="78"/>
        <v>0</v>
      </c>
    </row>
    <row r="1649" spans="8:9" x14ac:dyDescent="0.2">
      <c r="H1649" s="5">
        <f t="shared" si="77"/>
        <v>0</v>
      </c>
      <c r="I1649" s="5">
        <f t="shared" si="78"/>
        <v>0</v>
      </c>
    </row>
    <row r="1650" spans="8:9" x14ac:dyDescent="0.2">
      <c r="H1650" s="5">
        <f t="shared" si="77"/>
        <v>0</v>
      </c>
      <c r="I1650" s="5">
        <f t="shared" si="78"/>
        <v>0</v>
      </c>
    </row>
    <row r="1651" spans="8:9" x14ac:dyDescent="0.2">
      <c r="H1651" s="5">
        <f t="shared" si="77"/>
        <v>0</v>
      </c>
      <c r="I1651" s="5">
        <f t="shared" si="78"/>
        <v>0</v>
      </c>
    </row>
    <row r="1652" spans="8:9" x14ac:dyDescent="0.2">
      <c r="H1652" s="5">
        <f t="shared" si="77"/>
        <v>0</v>
      </c>
      <c r="I1652" s="5">
        <f t="shared" si="78"/>
        <v>0</v>
      </c>
    </row>
    <row r="1653" spans="8:9" x14ac:dyDescent="0.2">
      <c r="H1653" s="5">
        <f t="shared" si="77"/>
        <v>0</v>
      </c>
      <c r="I1653" s="5">
        <f t="shared" si="78"/>
        <v>0</v>
      </c>
    </row>
    <row r="1654" spans="8:9" x14ac:dyDescent="0.2">
      <c r="H1654" s="5">
        <f t="shared" si="77"/>
        <v>0</v>
      </c>
      <c r="I1654" s="5">
        <f t="shared" si="78"/>
        <v>0</v>
      </c>
    </row>
    <row r="1655" spans="8:9" x14ac:dyDescent="0.2">
      <c r="H1655" s="5">
        <f t="shared" si="77"/>
        <v>0</v>
      </c>
      <c r="I1655" s="5">
        <f t="shared" si="78"/>
        <v>0</v>
      </c>
    </row>
    <row r="1656" spans="8:9" x14ac:dyDescent="0.2">
      <c r="H1656" s="5">
        <f t="shared" si="77"/>
        <v>0</v>
      </c>
      <c r="I1656" s="5">
        <f t="shared" si="78"/>
        <v>0</v>
      </c>
    </row>
    <row r="1657" spans="8:9" x14ac:dyDescent="0.2">
      <c r="H1657" s="5">
        <f t="shared" si="77"/>
        <v>0</v>
      </c>
      <c r="I1657" s="5">
        <f t="shared" si="78"/>
        <v>0</v>
      </c>
    </row>
    <row r="1658" spans="8:9" x14ac:dyDescent="0.2">
      <c r="H1658" s="5">
        <f t="shared" si="77"/>
        <v>0</v>
      </c>
      <c r="I1658" s="5">
        <f t="shared" si="78"/>
        <v>0</v>
      </c>
    </row>
    <row r="1659" spans="8:9" x14ac:dyDescent="0.2">
      <c r="H1659" s="5">
        <f t="shared" si="77"/>
        <v>0</v>
      </c>
      <c r="I1659" s="5">
        <f t="shared" si="78"/>
        <v>0</v>
      </c>
    </row>
    <row r="1660" spans="8:9" x14ac:dyDescent="0.2">
      <c r="H1660" s="5">
        <f t="shared" si="77"/>
        <v>0</v>
      </c>
      <c r="I1660" s="5">
        <f t="shared" si="78"/>
        <v>0</v>
      </c>
    </row>
    <row r="1661" spans="8:9" x14ac:dyDescent="0.2">
      <c r="H1661" s="5">
        <f t="shared" si="77"/>
        <v>0</v>
      </c>
      <c r="I1661" s="5">
        <f t="shared" si="78"/>
        <v>0</v>
      </c>
    </row>
    <row r="1662" spans="8:9" x14ac:dyDescent="0.2">
      <c r="H1662" s="5">
        <f t="shared" si="77"/>
        <v>0</v>
      </c>
      <c r="I1662" s="5">
        <f t="shared" si="78"/>
        <v>0</v>
      </c>
    </row>
    <row r="1663" spans="8:9" x14ac:dyDescent="0.2">
      <c r="H1663" s="5">
        <f t="shared" si="77"/>
        <v>0</v>
      </c>
      <c r="I1663" s="5">
        <f t="shared" si="78"/>
        <v>0</v>
      </c>
    </row>
    <row r="1664" spans="8:9" x14ac:dyDescent="0.2">
      <c r="H1664" s="5">
        <f t="shared" ref="H1664:H1727" si="79">+G1664-E1664</f>
        <v>0</v>
      </c>
      <c r="I1664" s="5">
        <f t="shared" ref="I1664:I1727" si="80">G1664-F1664</f>
        <v>0</v>
      </c>
    </row>
    <row r="1665" spans="8:9" x14ac:dyDescent="0.2">
      <c r="H1665" s="5">
        <f t="shared" si="79"/>
        <v>0</v>
      </c>
      <c r="I1665" s="5">
        <f t="shared" si="80"/>
        <v>0</v>
      </c>
    </row>
    <row r="1666" spans="8:9" x14ac:dyDescent="0.2">
      <c r="H1666" s="5">
        <f t="shared" si="79"/>
        <v>0</v>
      </c>
      <c r="I1666" s="5">
        <f t="shared" si="80"/>
        <v>0</v>
      </c>
    </row>
    <row r="1667" spans="8:9" x14ac:dyDescent="0.2">
      <c r="H1667" s="5">
        <f t="shared" si="79"/>
        <v>0</v>
      </c>
      <c r="I1667" s="5">
        <f t="shared" si="80"/>
        <v>0</v>
      </c>
    </row>
    <row r="1668" spans="8:9" x14ac:dyDescent="0.2">
      <c r="H1668" s="5">
        <f t="shared" si="79"/>
        <v>0</v>
      </c>
      <c r="I1668" s="5">
        <f t="shared" si="80"/>
        <v>0</v>
      </c>
    </row>
    <row r="1669" spans="8:9" x14ac:dyDescent="0.2">
      <c r="H1669" s="5">
        <f t="shared" si="79"/>
        <v>0</v>
      </c>
      <c r="I1669" s="5">
        <f t="shared" si="80"/>
        <v>0</v>
      </c>
    </row>
    <row r="1670" spans="8:9" x14ac:dyDescent="0.2">
      <c r="H1670" s="5">
        <f t="shared" si="79"/>
        <v>0</v>
      </c>
      <c r="I1670" s="5">
        <f t="shared" si="80"/>
        <v>0</v>
      </c>
    </row>
    <row r="1671" spans="8:9" x14ac:dyDescent="0.2">
      <c r="H1671" s="5">
        <f t="shared" si="79"/>
        <v>0</v>
      </c>
      <c r="I1671" s="5">
        <f t="shared" si="80"/>
        <v>0</v>
      </c>
    </row>
    <row r="1672" spans="8:9" x14ac:dyDescent="0.2">
      <c r="H1672" s="5">
        <f t="shared" si="79"/>
        <v>0</v>
      </c>
      <c r="I1672" s="5">
        <f t="shared" si="80"/>
        <v>0</v>
      </c>
    </row>
    <row r="1673" spans="8:9" x14ac:dyDescent="0.2">
      <c r="H1673" s="5">
        <f t="shared" si="79"/>
        <v>0</v>
      </c>
      <c r="I1673" s="5">
        <f t="shared" si="80"/>
        <v>0</v>
      </c>
    </row>
    <row r="1674" spans="8:9" x14ac:dyDescent="0.2">
      <c r="H1674" s="5">
        <f t="shared" si="79"/>
        <v>0</v>
      </c>
      <c r="I1674" s="5">
        <f t="shared" si="80"/>
        <v>0</v>
      </c>
    </row>
    <row r="1675" spans="8:9" x14ac:dyDescent="0.2">
      <c r="H1675" s="5">
        <f t="shared" si="79"/>
        <v>0</v>
      </c>
      <c r="I1675" s="5">
        <f t="shared" si="80"/>
        <v>0</v>
      </c>
    </row>
    <row r="1676" spans="8:9" x14ac:dyDescent="0.2">
      <c r="H1676" s="5">
        <f t="shared" si="79"/>
        <v>0</v>
      </c>
      <c r="I1676" s="5">
        <f t="shared" si="80"/>
        <v>0</v>
      </c>
    </row>
    <row r="1677" spans="8:9" x14ac:dyDescent="0.2">
      <c r="H1677" s="5">
        <f t="shared" si="79"/>
        <v>0</v>
      </c>
      <c r="I1677" s="5">
        <f t="shared" si="80"/>
        <v>0</v>
      </c>
    </row>
    <row r="1678" spans="8:9" x14ac:dyDescent="0.2">
      <c r="H1678" s="5">
        <f t="shared" si="79"/>
        <v>0</v>
      </c>
      <c r="I1678" s="5">
        <f t="shared" si="80"/>
        <v>0</v>
      </c>
    </row>
    <row r="1679" spans="8:9" x14ac:dyDescent="0.2">
      <c r="H1679" s="5">
        <f t="shared" si="79"/>
        <v>0</v>
      </c>
      <c r="I1679" s="5">
        <f t="shared" si="80"/>
        <v>0</v>
      </c>
    </row>
    <row r="1680" spans="8:9" x14ac:dyDescent="0.2">
      <c r="H1680" s="5">
        <f t="shared" si="79"/>
        <v>0</v>
      </c>
      <c r="I1680" s="5">
        <f t="shared" si="80"/>
        <v>0</v>
      </c>
    </row>
    <row r="1681" spans="8:9" x14ac:dyDescent="0.2">
      <c r="H1681" s="5">
        <f t="shared" si="79"/>
        <v>0</v>
      </c>
      <c r="I1681" s="5">
        <f t="shared" si="80"/>
        <v>0</v>
      </c>
    </row>
    <row r="1682" spans="8:9" x14ac:dyDescent="0.2">
      <c r="H1682" s="5">
        <f t="shared" si="79"/>
        <v>0</v>
      </c>
      <c r="I1682" s="5">
        <f t="shared" si="80"/>
        <v>0</v>
      </c>
    </row>
    <row r="1683" spans="8:9" x14ac:dyDescent="0.2">
      <c r="H1683" s="5">
        <f t="shared" si="79"/>
        <v>0</v>
      </c>
      <c r="I1683" s="5">
        <f t="shared" si="80"/>
        <v>0</v>
      </c>
    </row>
    <row r="1684" spans="8:9" x14ac:dyDescent="0.2">
      <c r="H1684" s="5">
        <f t="shared" si="79"/>
        <v>0</v>
      </c>
      <c r="I1684" s="5">
        <f t="shared" si="80"/>
        <v>0</v>
      </c>
    </row>
    <row r="1685" spans="8:9" x14ac:dyDescent="0.2">
      <c r="H1685" s="5">
        <f t="shared" si="79"/>
        <v>0</v>
      </c>
      <c r="I1685" s="5">
        <f t="shared" si="80"/>
        <v>0</v>
      </c>
    </row>
    <row r="1686" spans="8:9" x14ac:dyDescent="0.2">
      <c r="H1686" s="5">
        <f t="shared" si="79"/>
        <v>0</v>
      </c>
      <c r="I1686" s="5">
        <f t="shared" si="80"/>
        <v>0</v>
      </c>
    </row>
    <row r="1687" spans="8:9" x14ac:dyDescent="0.2">
      <c r="H1687" s="5">
        <f t="shared" si="79"/>
        <v>0</v>
      </c>
      <c r="I1687" s="5">
        <f t="shared" si="80"/>
        <v>0</v>
      </c>
    </row>
    <row r="1688" spans="8:9" x14ac:dyDescent="0.2">
      <c r="H1688" s="5">
        <f t="shared" si="79"/>
        <v>0</v>
      </c>
      <c r="I1688" s="5">
        <f t="shared" si="80"/>
        <v>0</v>
      </c>
    </row>
    <row r="1689" spans="8:9" x14ac:dyDescent="0.2">
      <c r="H1689" s="5">
        <f t="shared" si="79"/>
        <v>0</v>
      </c>
      <c r="I1689" s="5">
        <f t="shared" si="80"/>
        <v>0</v>
      </c>
    </row>
    <row r="1690" spans="8:9" x14ac:dyDescent="0.2">
      <c r="H1690" s="5">
        <f t="shared" si="79"/>
        <v>0</v>
      </c>
      <c r="I1690" s="5">
        <f t="shared" si="80"/>
        <v>0</v>
      </c>
    </row>
    <row r="1691" spans="8:9" x14ac:dyDescent="0.2">
      <c r="H1691" s="5">
        <f t="shared" si="79"/>
        <v>0</v>
      </c>
      <c r="I1691" s="5">
        <f t="shared" si="80"/>
        <v>0</v>
      </c>
    </row>
    <row r="1692" spans="8:9" x14ac:dyDescent="0.2">
      <c r="H1692" s="5">
        <f t="shared" si="79"/>
        <v>0</v>
      </c>
      <c r="I1692" s="5">
        <f t="shared" si="80"/>
        <v>0</v>
      </c>
    </row>
    <row r="1693" spans="8:9" x14ac:dyDescent="0.2">
      <c r="H1693" s="5">
        <f t="shared" si="79"/>
        <v>0</v>
      </c>
      <c r="I1693" s="5">
        <f t="shared" si="80"/>
        <v>0</v>
      </c>
    </row>
    <row r="1694" spans="8:9" x14ac:dyDescent="0.2">
      <c r="H1694" s="5">
        <f t="shared" si="79"/>
        <v>0</v>
      </c>
      <c r="I1694" s="5">
        <f t="shared" si="80"/>
        <v>0</v>
      </c>
    </row>
    <row r="1695" spans="8:9" x14ac:dyDescent="0.2">
      <c r="H1695" s="5">
        <f t="shared" si="79"/>
        <v>0</v>
      </c>
      <c r="I1695" s="5">
        <f t="shared" si="80"/>
        <v>0</v>
      </c>
    </row>
    <row r="1696" spans="8:9" x14ac:dyDescent="0.2">
      <c r="H1696" s="5">
        <f t="shared" si="79"/>
        <v>0</v>
      </c>
      <c r="I1696" s="5">
        <f t="shared" si="80"/>
        <v>0</v>
      </c>
    </row>
    <row r="1697" spans="8:9" x14ac:dyDescent="0.2">
      <c r="H1697" s="5">
        <f t="shared" si="79"/>
        <v>0</v>
      </c>
      <c r="I1697" s="5">
        <f t="shared" si="80"/>
        <v>0</v>
      </c>
    </row>
    <row r="1698" spans="8:9" x14ac:dyDescent="0.2">
      <c r="H1698" s="5">
        <f t="shared" si="79"/>
        <v>0</v>
      </c>
      <c r="I1698" s="5">
        <f t="shared" si="80"/>
        <v>0</v>
      </c>
    </row>
    <row r="1699" spans="8:9" x14ac:dyDescent="0.2">
      <c r="H1699" s="5">
        <f t="shared" si="79"/>
        <v>0</v>
      </c>
      <c r="I1699" s="5">
        <f t="shared" si="80"/>
        <v>0</v>
      </c>
    </row>
    <row r="1700" spans="8:9" x14ac:dyDescent="0.2">
      <c r="H1700" s="5">
        <f t="shared" si="79"/>
        <v>0</v>
      </c>
      <c r="I1700" s="5">
        <f t="shared" si="80"/>
        <v>0</v>
      </c>
    </row>
    <row r="1701" spans="8:9" x14ac:dyDescent="0.2">
      <c r="H1701" s="5">
        <f t="shared" si="79"/>
        <v>0</v>
      </c>
      <c r="I1701" s="5">
        <f t="shared" si="80"/>
        <v>0</v>
      </c>
    </row>
    <row r="1702" spans="8:9" x14ac:dyDescent="0.2">
      <c r="H1702" s="5">
        <f t="shared" si="79"/>
        <v>0</v>
      </c>
      <c r="I1702" s="5">
        <f t="shared" si="80"/>
        <v>0</v>
      </c>
    </row>
    <row r="1703" spans="8:9" x14ac:dyDescent="0.2">
      <c r="H1703" s="5">
        <f t="shared" si="79"/>
        <v>0</v>
      </c>
      <c r="I1703" s="5">
        <f t="shared" si="80"/>
        <v>0</v>
      </c>
    </row>
    <row r="1704" spans="8:9" x14ac:dyDescent="0.2">
      <c r="H1704" s="5">
        <f t="shared" si="79"/>
        <v>0</v>
      </c>
      <c r="I1704" s="5">
        <f t="shared" si="80"/>
        <v>0</v>
      </c>
    </row>
    <row r="1705" spans="8:9" x14ac:dyDescent="0.2">
      <c r="H1705" s="5">
        <f t="shared" si="79"/>
        <v>0</v>
      </c>
      <c r="I1705" s="5">
        <f t="shared" si="80"/>
        <v>0</v>
      </c>
    </row>
    <row r="1706" spans="8:9" x14ac:dyDescent="0.2">
      <c r="H1706" s="5">
        <f t="shared" si="79"/>
        <v>0</v>
      </c>
      <c r="I1706" s="5">
        <f t="shared" si="80"/>
        <v>0</v>
      </c>
    </row>
    <row r="1707" spans="8:9" x14ac:dyDescent="0.2">
      <c r="H1707" s="5">
        <f t="shared" si="79"/>
        <v>0</v>
      </c>
      <c r="I1707" s="5">
        <f t="shared" si="80"/>
        <v>0</v>
      </c>
    </row>
    <row r="1708" spans="8:9" x14ac:dyDescent="0.2">
      <c r="H1708" s="5">
        <f t="shared" si="79"/>
        <v>0</v>
      </c>
      <c r="I1708" s="5">
        <f t="shared" si="80"/>
        <v>0</v>
      </c>
    </row>
    <row r="1709" spans="8:9" x14ac:dyDescent="0.2">
      <c r="H1709" s="5">
        <f t="shared" si="79"/>
        <v>0</v>
      </c>
      <c r="I1709" s="5">
        <f t="shared" si="80"/>
        <v>0</v>
      </c>
    </row>
    <row r="1710" spans="8:9" x14ac:dyDescent="0.2">
      <c r="H1710" s="5">
        <f t="shared" si="79"/>
        <v>0</v>
      </c>
      <c r="I1710" s="5">
        <f t="shared" si="80"/>
        <v>0</v>
      </c>
    </row>
    <row r="1711" spans="8:9" x14ac:dyDescent="0.2">
      <c r="H1711" s="5">
        <f t="shared" si="79"/>
        <v>0</v>
      </c>
      <c r="I1711" s="5">
        <f t="shared" si="80"/>
        <v>0</v>
      </c>
    </row>
    <row r="1712" spans="8:9" x14ac:dyDescent="0.2">
      <c r="H1712" s="5">
        <f t="shared" si="79"/>
        <v>0</v>
      </c>
      <c r="I1712" s="5">
        <f t="shared" si="80"/>
        <v>0</v>
      </c>
    </row>
    <row r="1713" spans="8:9" x14ac:dyDescent="0.2">
      <c r="H1713" s="5">
        <f t="shared" si="79"/>
        <v>0</v>
      </c>
      <c r="I1713" s="5">
        <f t="shared" si="80"/>
        <v>0</v>
      </c>
    </row>
    <row r="1714" spans="8:9" x14ac:dyDescent="0.2">
      <c r="H1714" s="5">
        <f t="shared" si="79"/>
        <v>0</v>
      </c>
      <c r="I1714" s="5">
        <f t="shared" si="80"/>
        <v>0</v>
      </c>
    </row>
    <row r="1715" spans="8:9" x14ac:dyDescent="0.2">
      <c r="H1715" s="5">
        <f t="shared" si="79"/>
        <v>0</v>
      </c>
      <c r="I1715" s="5">
        <f t="shared" si="80"/>
        <v>0</v>
      </c>
    </row>
    <row r="1716" spans="8:9" x14ac:dyDescent="0.2">
      <c r="H1716" s="5">
        <f t="shared" si="79"/>
        <v>0</v>
      </c>
      <c r="I1716" s="5">
        <f t="shared" si="80"/>
        <v>0</v>
      </c>
    </row>
    <row r="1717" spans="8:9" x14ac:dyDescent="0.2">
      <c r="H1717" s="5">
        <f t="shared" si="79"/>
        <v>0</v>
      </c>
      <c r="I1717" s="5">
        <f t="shared" si="80"/>
        <v>0</v>
      </c>
    </row>
    <row r="1718" spans="8:9" x14ac:dyDescent="0.2">
      <c r="H1718" s="5">
        <f t="shared" si="79"/>
        <v>0</v>
      </c>
      <c r="I1718" s="5">
        <f t="shared" si="80"/>
        <v>0</v>
      </c>
    </row>
    <row r="1719" spans="8:9" x14ac:dyDescent="0.2">
      <c r="H1719" s="5">
        <f t="shared" si="79"/>
        <v>0</v>
      </c>
      <c r="I1719" s="5">
        <f t="shared" si="80"/>
        <v>0</v>
      </c>
    </row>
    <row r="1720" spans="8:9" x14ac:dyDescent="0.2">
      <c r="H1720" s="5">
        <f t="shared" si="79"/>
        <v>0</v>
      </c>
      <c r="I1720" s="5">
        <f t="shared" si="80"/>
        <v>0</v>
      </c>
    </row>
    <row r="1721" spans="8:9" x14ac:dyDescent="0.2">
      <c r="H1721" s="5">
        <f t="shared" si="79"/>
        <v>0</v>
      </c>
      <c r="I1721" s="5">
        <f t="shared" si="80"/>
        <v>0</v>
      </c>
    </row>
    <row r="1722" spans="8:9" x14ac:dyDescent="0.2">
      <c r="H1722" s="5">
        <f t="shared" si="79"/>
        <v>0</v>
      </c>
      <c r="I1722" s="5">
        <f t="shared" si="80"/>
        <v>0</v>
      </c>
    </row>
    <row r="1723" spans="8:9" x14ac:dyDescent="0.2">
      <c r="H1723" s="5">
        <f t="shared" si="79"/>
        <v>0</v>
      </c>
      <c r="I1723" s="5">
        <f t="shared" si="80"/>
        <v>0</v>
      </c>
    </row>
    <row r="1724" spans="8:9" x14ac:dyDescent="0.2">
      <c r="H1724" s="5">
        <f t="shared" si="79"/>
        <v>0</v>
      </c>
      <c r="I1724" s="5">
        <f t="shared" si="80"/>
        <v>0</v>
      </c>
    </row>
    <row r="1725" spans="8:9" x14ac:dyDescent="0.2">
      <c r="H1725" s="5">
        <f t="shared" si="79"/>
        <v>0</v>
      </c>
      <c r="I1725" s="5">
        <f t="shared" si="80"/>
        <v>0</v>
      </c>
    </row>
    <row r="1726" spans="8:9" x14ac:dyDescent="0.2">
      <c r="H1726" s="5">
        <f t="shared" si="79"/>
        <v>0</v>
      </c>
      <c r="I1726" s="5">
        <f t="shared" si="80"/>
        <v>0</v>
      </c>
    </row>
    <row r="1727" spans="8:9" x14ac:dyDescent="0.2">
      <c r="H1727" s="5">
        <f t="shared" si="79"/>
        <v>0</v>
      </c>
      <c r="I1727" s="5">
        <f t="shared" si="80"/>
        <v>0</v>
      </c>
    </row>
    <row r="1728" spans="8:9" x14ac:dyDescent="0.2">
      <c r="H1728" s="5">
        <f t="shared" ref="H1728:H1767" si="81">+G1728-E1728</f>
        <v>0</v>
      </c>
      <c r="I1728" s="5">
        <f t="shared" ref="I1728:I1767" si="82">G1728-F1728</f>
        <v>0</v>
      </c>
    </row>
    <row r="1729" spans="8:9" x14ac:dyDescent="0.2">
      <c r="H1729" s="5">
        <f t="shared" si="81"/>
        <v>0</v>
      </c>
      <c r="I1729" s="5">
        <f t="shared" si="82"/>
        <v>0</v>
      </c>
    </row>
    <row r="1730" spans="8:9" x14ac:dyDescent="0.2">
      <c r="H1730" s="5">
        <f t="shared" si="81"/>
        <v>0</v>
      </c>
      <c r="I1730" s="5">
        <f t="shared" si="82"/>
        <v>0</v>
      </c>
    </row>
    <row r="1731" spans="8:9" x14ac:dyDescent="0.2">
      <c r="H1731" s="5">
        <f t="shared" si="81"/>
        <v>0</v>
      </c>
      <c r="I1731" s="5">
        <f t="shared" si="82"/>
        <v>0</v>
      </c>
    </row>
    <row r="1732" spans="8:9" x14ac:dyDescent="0.2">
      <c r="H1732" s="5">
        <f t="shared" si="81"/>
        <v>0</v>
      </c>
      <c r="I1732" s="5">
        <f t="shared" si="82"/>
        <v>0</v>
      </c>
    </row>
    <row r="1733" spans="8:9" x14ac:dyDescent="0.2">
      <c r="H1733" s="5">
        <f t="shared" si="81"/>
        <v>0</v>
      </c>
      <c r="I1733" s="5">
        <f t="shared" si="82"/>
        <v>0</v>
      </c>
    </row>
    <row r="1734" spans="8:9" x14ac:dyDescent="0.2">
      <c r="H1734" s="5">
        <f t="shared" si="81"/>
        <v>0</v>
      </c>
      <c r="I1734" s="5">
        <f t="shared" si="82"/>
        <v>0</v>
      </c>
    </row>
    <row r="1735" spans="8:9" x14ac:dyDescent="0.2">
      <c r="H1735" s="5">
        <f t="shared" si="81"/>
        <v>0</v>
      </c>
      <c r="I1735" s="5">
        <f t="shared" si="82"/>
        <v>0</v>
      </c>
    </row>
    <row r="1736" spans="8:9" x14ac:dyDescent="0.2">
      <c r="H1736" s="5">
        <f t="shared" si="81"/>
        <v>0</v>
      </c>
      <c r="I1736" s="5">
        <f t="shared" si="82"/>
        <v>0</v>
      </c>
    </row>
    <row r="1737" spans="8:9" x14ac:dyDescent="0.2">
      <c r="H1737" s="5">
        <f t="shared" si="81"/>
        <v>0</v>
      </c>
      <c r="I1737" s="5">
        <f t="shared" si="82"/>
        <v>0</v>
      </c>
    </row>
    <row r="1738" spans="8:9" x14ac:dyDescent="0.2">
      <c r="H1738" s="5">
        <f t="shared" si="81"/>
        <v>0</v>
      </c>
      <c r="I1738" s="5">
        <f t="shared" si="82"/>
        <v>0</v>
      </c>
    </row>
    <row r="1739" spans="8:9" x14ac:dyDescent="0.2">
      <c r="H1739" s="5">
        <f t="shared" si="81"/>
        <v>0</v>
      </c>
      <c r="I1739" s="5">
        <f t="shared" si="82"/>
        <v>0</v>
      </c>
    </row>
    <row r="1740" spans="8:9" x14ac:dyDescent="0.2">
      <c r="H1740" s="5">
        <f t="shared" si="81"/>
        <v>0</v>
      </c>
      <c r="I1740" s="5">
        <f t="shared" si="82"/>
        <v>0</v>
      </c>
    </row>
    <row r="1741" spans="8:9" x14ac:dyDescent="0.2">
      <c r="H1741" s="5">
        <f t="shared" si="81"/>
        <v>0</v>
      </c>
      <c r="I1741" s="5">
        <f t="shared" si="82"/>
        <v>0</v>
      </c>
    </row>
    <row r="1742" spans="8:9" x14ac:dyDescent="0.2">
      <c r="H1742" s="5">
        <f t="shared" si="81"/>
        <v>0</v>
      </c>
      <c r="I1742" s="5">
        <f t="shared" si="82"/>
        <v>0</v>
      </c>
    </row>
    <row r="1743" spans="8:9" x14ac:dyDescent="0.2">
      <c r="H1743" s="5">
        <f t="shared" si="81"/>
        <v>0</v>
      </c>
      <c r="I1743" s="5">
        <f t="shared" si="82"/>
        <v>0</v>
      </c>
    </row>
    <row r="1744" spans="8:9" x14ac:dyDescent="0.2">
      <c r="H1744" s="5">
        <f t="shared" si="81"/>
        <v>0</v>
      </c>
      <c r="I1744" s="5">
        <f t="shared" si="82"/>
        <v>0</v>
      </c>
    </row>
    <row r="1745" spans="8:9" x14ac:dyDescent="0.2">
      <c r="H1745" s="5">
        <f t="shared" si="81"/>
        <v>0</v>
      </c>
      <c r="I1745" s="5">
        <f t="shared" si="82"/>
        <v>0</v>
      </c>
    </row>
    <row r="1746" spans="8:9" x14ac:dyDescent="0.2">
      <c r="H1746" s="5">
        <f t="shared" si="81"/>
        <v>0</v>
      </c>
      <c r="I1746" s="5">
        <f t="shared" si="82"/>
        <v>0</v>
      </c>
    </row>
    <row r="1747" spans="8:9" x14ac:dyDescent="0.2">
      <c r="H1747" s="5">
        <f t="shared" si="81"/>
        <v>0</v>
      </c>
      <c r="I1747" s="5">
        <f t="shared" si="82"/>
        <v>0</v>
      </c>
    </row>
    <row r="1748" spans="8:9" x14ac:dyDescent="0.2">
      <c r="H1748" s="5">
        <f t="shared" si="81"/>
        <v>0</v>
      </c>
      <c r="I1748" s="5">
        <f t="shared" si="82"/>
        <v>0</v>
      </c>
    </row>
    <row r="1749" spans="8:9" x14ac:dyDescent="0.2">
      <c r="H1749" s="5">
        <f t="shared" si="81"/>
        <v>0</v>
      </c>
      <c r="I1749" s="5">
        <f t="shared" si="82"/>
        <v>0</v>
      </c>
    </row>
    <row r="1750" spans="8:9" x14ac:dyDescent="0.2">
      <c r="H1750" s="5">
        <f t="shared" si="81"/>
        <v>0</v>
      </c>
      <c r="I1750" s="5">
        <f t="shared" si="82"/>
        <v>0</v>
      </c>
    </row>
    <row r="1751" spans="8:9" x14ac:dyDescent="0.2">
      <c r="H1751" s="5">
        <f t="shared" si="81"/>
        <v>0</v>
      </c>
      <c r="I1751" s="5">
        <f t="shared" si="82"/>
        <v>0</v>
      </c>
    </row>
    <row r="1752" spans="8:9" x14ac:dyDescent="0.2">
      <c r="H1752" s="5">
        <f t="shared" si="81"/>
        <v>0</v>
      </c>
      <c r="I1752" s="5">
        <f t="shared" si="82"/>
        <v>0</v>
      </c>
    </row>
    <row r="1753" spans="8:9" x14ac:dyDescent="0.2">
      <c r="H1753" s="5">
        <f t="shared" si="81"/>
        <v>0</v>
      </c>
      <c r="I1753" s="5">
        <f t="shared" si="82"/>
        <v>0</v>
      </c>
    </row>
    <row r="1754" spans="8:9" x14ac:dyDescent="0.2">
      <c r="H1754" s="5">
        <f t="shared" si="81"/>
        <v>0</v>
      </c>
      <c r="I1754" s="5">
        <f t="shared" si="82"/>
        <v>0</v>
      </c>
    </row>
    <row r="1755" spans="8:9" x14ac:dyDescent="0.2">
      <c r="H1755" s="5">
        <f t="shared" si="81"/>
        <v>0</v>
      </c>
      <c r="I1755" s="5">
        <f t="shared" si="82"/>
        <v>0</v>
      </c>
    </row>
    <row r="1756" spans="8:9" x14ac:dyDescent="0.2">
      <c r="H1756" s="5">
        <f t="shared" si="81"/>
        <v>0</v>
      </c>
      <c r="I1756" s="5">
        <f t="shared" si="82"/>
        <v>0</v>
      </c>
    </row>
    <row r="1757" spans="8:9" x14ac:dyDescent="0.2">
      <c r="H1757" s="5">
        <f t="shared" si="81"/>
        <v>0</v>
      </c>
      <c r="I1757" s="5">
        <f t="shared" si="82"/>
        <v>0</v>
      </c>
    </row>
    <row r="1758" spans="8:9" x14ac:dyDescent="0.2">
      <c r="H1758" s="5">
        <f t="shared" si="81"/>
        <v>0</v>
      </c>
      <c r="I1758" s="5">
        <f t="shared" si="82"/>
        <v>0</v>
      </c>
    </row>
    <row r="1759" spans="8:9" x14ac:dyDescent="0.2">
      <c r="H1759" s="5">
        <f t="shared" si="81"/>
        <v>0</v>
      </c>
      <c r="I1759" s="5">
        <f t="shared" si="82"/>
        <v>0</v>
      </c>
    </row>
    <row r="1760" spans="8:9" x14ac:dyDescent="0.2">
      <c r="H1760" s="5">
        <f t="shared" si="81"/>
        <v>0</v>
      </c>
      <c r="I1760" s="5">
        <f t="shared" si="82"/>
        <v>0</v>
      </c>
    </row>
    <row r="1761" spans="8:9" x14ac:dyDescent="0.2">
      <c r="H1761" s="5">
        <f t="shared" si="81"/>
        <v>0</v>
      </c>
      <c r="I1761" s="5">
        <f t="shared" si="82"/>
        <v>0</v>
      </c>
    </row>
    <row r="1762" spans="8:9" x14ac:dyDescent="0.2">
      <c r="H1762" s="5">
        <f t="shared" si="81"/>
        <v>0</v>
      </c>
      <c r="I1762" s="5">
        <f t="shared" si="82"/>
        <v>0</v>
      </c>
    </row>
    <row r="1763" spans="8:9" x14ac:dyDescent="0.2">
      <c r="H1763" s="5">
        <f t="shared" si="81"/>
        <v>0</v>
      </c>
      <c r="I1763" s="5">
        <f t="shared" si="82"/>
        <v>0</v>
      </c>
    </row>
    <row r="1764" spans="8:9" x14ac:dyDescent="0.2">
      <c r="H1764" s="5">
        <f t="shared" si="81"/>
        <v>0</v>
      </c>
      <c r="I1764" s="5">
        <f t="shared" si="82"/>
        <v>0</v>
      </c>
    </row>
    <row r="1765" spans="8:9" x14ac:dyDescent="0.2">
      <c r="H1765" s="5">
        <f t="shared" si="81"/>
        <v>0</v>
      </c>
      <c r="I1765" s="5">
        <f t="shared" si="82"/>
        <v>0</v>
      </c>
    </row>
    <row r="1766" spans="8:9" x14ac:dyDescent="0.2">
      <c r="H1766" s="5">
        <f t="shared" si="81"/>
        <v>0</v>
      </c>
      <c r="I1766" s="5">
        <f t="shared" si="82"/>
        <v>0</v>
      </c>
    </row>
    <row r="1767" spans="8:9" x14ac:dyDescent="0.2">
      <c r="H1767" s="5">
        <f t="shared" si="81"/>
        <v>0</v>
      </c>
      <c r="I1767" s="5">
        <f t="shared" si="82"/>
        <v>0</v>
      </c>
    </row>
  </sheetData>
  <sortState xmlns:xlrd2="http://schemas.microsoft.com/office/spreadsheetml/2017/richdata2" ref="A4:M863">
    <sortCondition ref="A3:A863"/>
  </sortState>
  <mergeCells count="10">
    <mergeCell ref="H1:I1"/>
    <mergeCell ref="J1:J2"/>
    <mergeCell ref="L1:L2"/>
    <mergeCell ref="M1:M2"/>
    <mergeCell ref="A1:A2"/>
    <mergeCell ref="B1:B2"/>
    <mergeCell ref="C1:C2"/>
    <mergeCell ref="E1:E2"/>
    <mergeCell ref="F1:F2"/>
    <mergeCell ref="G1:G2"/>
  </mergeCells>
  <conditionalFormatting sqref="A1:A1048576">
    <cfRule type="duplicateValues" dxfId="0" priority="1"/>
  </conditionalFormatting>
  <dataValidations count="4">
    <dataValidation type="list" allowBlank="1" showInputMessage="1" showErrorMessage="1" sqref="D1 D3:D1048576" xr:uid="{4FC2CCD0-F621-014B-B704-5A79A67ED780}">
      <formula1>"0-6 months, 6-12 months, Adult, Senior"</formula1>
    </dataValidation>
    <dataValidation type="list" allowBlank="1" showInputMessage="1" showErrorMessage="1" sqref="B3:B300" xr:uid="{A63CFEB4-F333-A043-8539-4C711FE5B4A6}">
      <formula1>"BAS, Bite, Other, Owner Surrender, Seized, Stray, Stray w/identification"</formula1>
    </dataValidation>
    <dataValidation type="list" allowBlank="1" showInputMessage="1" showErrorMessage="1" sqref="J3:J300" xr:uid="{F7347311-7AA9-1543-8EA0-705518681BE0}">
      <formula1>"Adopted, DOA, Euthanized, RTO, Shelter, Transferred, "</formula1>
    </dataValidation>
    <dataValidation type="list" allowBlank="1" showInputMessage="1" showErrorMessage="1" sqref="K1 K3:K1048576" xr:uid="{A9D7E549-B630-2349-97BD-FA56C5403C23}">
      <formula1>"N/A, Dangerous, Injured/Sick, Owner Request, Space, Unweaned"</formula1>
    </dataValidation>
  </dataValidations>
  <hyperlinks>
    <hyperlink ref="A718" r:id="rId1" display="https://www.dropbox.com/scl/fi/u99dasvbe04beh0k2z0jj/41143.pdf?rlkey=n7yc71feuf75wjwa1vkc7gbi6&amp;dl=0" xr:uid="{D25E3EE5-B30A-C144-BCA4-F9DB5775EC2C}"/>
    <hyperlink ref="A686" r:id="rId2" display="https://www.dropbox.com/scl/fi/3ef2uq3mboc9jku4t2zj6/41074.pdf?rlkey=wtqwk3ilgyez46oz5my91z7iv&amp;dl=0" xr:uid="{B2AC5818-20FC-CB40-BAE4-D054796CE76B}"/>
    <hyperlink ref="A736" r:id="rId3" display="https://www.dropbox.com/scl/fi/c8ylaqb2yzy5nm6zxg35a/41185.pdf?rlkey=t8e25tmkf2ntv2mr1j4rr49ws&amp;dl=0" xr:uid="{E55FCD28-54A5-BC47-A683-D5E84C354F0E}"/>
    <hyperlink ref="A634" r:id="rId4" display="https://www.dropbox.com/scl/fi/zkwon2bmz6ul6zqexrus2/40939.pdf?rlkey=so18nt1fqnkg9hh0dmt5y15p0&amp;dl=0" xr:uid="{7AFB907D-4DCE-5A46-913E-42FE0DEB0FF9}"/>
    <hyperlink ref="A606" r:id="rId5" display="https://www.dropbox.com/scl/fi/w3xgjen4vxsljtgabmn3o/40879.pdf?rlkey=vg7weuksi4fe24zjhq2pzixk8&amp;dl=0" xr:uid="{C8EDE7B8-1D44-E045-978A-49BB6489C7C3}"/>
    <hyperlink ref="A680" r:id="rId6" display="https://www.dropbox.com/scl/fi/geykcufpngivjb83qlagi/41063.pdf?rlkey=vbif79jk39rfs6k6cfj56tu1b&amp;dl=0" xr:uid="{91C921D3-1006-9B4F-83AA-E42D6C908922}"/>
    <hyperlink ref="A772" r:id="rId7" display="https://www.dropbox.com/scl/fi/q6j27s1i4xj2nifglhsra/41248.pdf?rlkey=uoj4zzdfeiezvlfj5351tn3hn&amp;dl=0" xr:uid="{8EEFB200-1984-B740-8B3A-EF9AD7733AB3}"/>
    <hyperlink ref="A709" r:id="rId8" display="https://www.dropbox.com/scl/fi/ywtdrryekjkb90zz2fzvp/41126.pdf?rlkey=881zobgdpp4iraerspinp5qbj&amp;dl=0" xr:uid="{8CAC4BC4-0384-8E4E-9939-435E64C9709B}"/>
    <hyperlink ref="A636" r:id="rId9" display="https://www.dropbox.com/scl/fi/cb53oz3pxbdq4qpmsor73/40941.pdf?rlkey=2cv7lur3not9nbuf7gpbzjdge&amp;dl=0" xr:uid="{894E148B-8088-9A4B-B6AC-49D95B8F8047}"/>
    <hyperlink ref="A575" r:id="rId10" display="https://www.dropbox.com/scl/fi/jw984vkxhbwtqclj5zdye/40787.pdf?rlkey=dfemup6iwdr0bzkfc6wwi7bu2&amp;dl=0" xr:uid="{3499F86D-3D12-7248-8382-3AA101299C45}"/>
    <hyperlink ref="A488" r:id="rId11" display="https://www.dropbox.com/scl/fi/hiyuth1o8k68eqq16plqr/40353.pdf?rlkey=pvwiveiifi82eram510jlkq31&amp;dl=0" xr:uid="{F7C332C0-06CC-B347-85C4-28F54ED541E6}"/>
    <hyperlink ref="A632" r:id="rId12" display="https://www.dropbox.com/scl/fi/5mtrhefy9c3oh17rx17eb/40936.pdf?rlkey=o7xfj0p4wlcfxa5t9lhpqpugy&amp;dl=0" xr:uid="{27169CB1-13E2-6846-B0D1-E787AB9A561F}"/>
    <hyperlink ref="A635" r:id="rId13" display="https://www.dropbox.com/scl/fi/snt8s8goos1bw7s8hqnqx/40940.pdf?rlkey=1ydim3z71cgge3cgz6eu43kzt&amp;dl=0" xr:uid="{BCDD094E-31D0-9D48-A07D-73245B9E4803}"/>
    <hyperlink ref="A747" r:id="rId14" display="https://www.dropbox.com/scl/fi/yfc7o5qn8t42fxunv8j36/41214.pdf?rlkey=qtv8cgi1ntr8142co08k0inyr&amp;dl=0" xr:uid="{80406B6C-26AB-194E-8EB9-AFBF1F3134F4}"/>
    <hyperlink ref="A817" r:id="rId15" display="https://www.dropbox.com/scl/fi/cu5q54ik6ig888ra8qb1s/41346.pdf?rlkey=it6e26qhey8obrcwi2wnvzizm&amp;dl=0" xr:uid="{D9E6D421-8DB4-8A44-B6FA-CF5FCAF66F5B}"/>
    <hyperlink ref="A746" r:id="rId16" display="https://www.dropbox.com/scl/fi/xen0udz3u0jcvpjysv67o/41210.pdf?rlkey=7dih0ot5wg89k8m7bslq8kjqd&amp;dl=0" xr:uid="{88534E08-8FAE-AA45-B309-49A06FC4EBEA}"/>
    <hyperlink ref="A786" r:id="rId17" display="https://www.dropbox.com/scl/fi/ncjfhsz6s51lwpwvd32tk/41291.pdf?rlkey=zbs7yfombau8s6mauypn8m3et&amp;dl=0" xr:uid="{CF8BDA13-0B09-D142-9EBF-7F1A942522A8}"/>
    <hyperlink ref="A811" r:id="rId18" display="https://www.dropbox.com/scl/fi/ohfnxnxphsxr1ia1g36z7/41335.pdf?rlkey=grmi7voul9ui2i1rob09qcuq3&amp;dl=0" xr:uid="{05EAEAFE-0F53-D44F-B29A-3EBC8212674D}"/>
    <hyperlink ref="A778" r:id="rId19" display="https://www.dropbox.com/scl/fi/gze7tax1sjq59o6487gcb/41272.pdf?rlkey=8yv00iytqn4ic3be515ixmziy&amp;dl=0" xr:uid="{7FE19B99-4FDC-294E-B2CF-6FC37CD99D6B}"/>
    <hyperlink ref="A801" r:id="rId20" display="https://www.dropbox.com/scl/fi/bymtycd04bji0ex8z4sdp/41308.pdf?rlkey=fjrko2wqzxr8q2fb3xmlns4xw&amp;dl=0" xr:uid="{4CD6D00C-4277-AF4C-99BB-0898C8D1C056}"/>
    <hyperlink ref="A760" r:id="rId21" display="https://www.dropbox.com/scl/fi/2qhmroxxn2zf1zkh3moct/41227.pdf?rlkey=qf6v57manpdv93tha35y91oh7&amp;dl=0" xr:uid="{630B157D-7460-D145-9777-E64B25388A22}"/>
    <hyperlink ref="A788" r:id="rId22" display="https://www.dropbox.com/scl/fi/5photje134m003o5ocuuj/41293.pdf?rlkey=ai3eb34gnct7v2sa1h0sbyink&amp;dl=0" xr:uid="{34FFFAAF-DFD0-EF4C-9F00-2FB53ED02A1F}"/>
    <hyperlink ref="A823" r:id="rId23" display="https://www.dropbox.com/scl/fi/kbwe53fbp5580xw9zzack/41379.pdf?rlkey=w1fqk3c26lj5patalp4ngh53g&amp;dl=0" xr:uid="{B57E08FF-528E-EE45-939F-584130077184}"/>
    <hyperlink ref="A674" r:id="rId24" display="https://www.dropbox.com/scl/fi/thxphek2nglo9wc5e0fab/41051.pdf?rlkey=808x1zebumfomlcx45vde6muh&amp;dl=0" xr:uid="{A1DB8D07-B1C9-EF42-80B8-3D9568228BCD}"/>
    <hyperlink ref="A769" r:id="rId25" display="https://www.dropbox.com/scl/fi/8975tlir8ex7xg16c7yxq/41245.pdf?rlkey=urcqkjr90coo1drx39gk9g7jl&amp;dl=0" xr:uid="{9C4867DD-CDC8-4643-B7C4-0D806B5AE6DF}"/>
    <hyperlink ref="A766" r:id="rId26" display="https://www.dropbox.com/scl/fi/tnk9qoqwud0820xpxu9xa/41234.pdf?rlkey=c20ne4pg3tren3hbf5xuwlmtz&amp;dl=0" xr:uid="{C22B1109-F34B-944C-9C76-035F0223A8BB}"/>
    <hyperlink ref="A771" r:id="rId27" display="https://www.dropbox.com/scl/fi/9hco6vl84gxlnli8wpk8v/41247.pdf?rlkey=k95igvit2tnkalawx4rbl3sac&amp;dl=0" xr:uid="{ECF2C1F9-D5ED-DB44-9F63-E4F26FDAB23F}"/>
    <hyperlink ref="A748" r:id="rId28" display="https://www.dropbox.com/scl/fi/kqc7y1dziu2jhhbk033ud/41215.pdf?rlkey=1d1v5fwxjw3ee2g8vhx1aclpn&amp;dl=0" xr:uid="{7D9FE0EE-FEA2-6D4D-93E8-1F2BC73379DD}"/>
    <hyperlink ref="A819" r:id="rId29" display="https://www.dropbox.com/scl/fi/d4rptyimospphzs4kzjn1/41348.pdf?rlkey=2ct8klygnfoqnc2nnzaoqdeyj&amp;dl=0" xr:uid="{2C63F8BA-BBEA-5943-8E15-6E43E9F7E8E1}"/>
    <hyperlink ref="A818" r:id="rId30" display="https://www.dropbox.com/scl/fi/gzr8zei1nsmsg612ay559/41347.pdf?rlkey=399u5aqk0i9pg451nc5qao2hr&amp;dl=0" xr:uid="{84BEA5CD-BE1A-D54E-BC81-F51692E54F34}"/>
    <hyperlink ref="A717" r:id="rId31" display="https://www.dropbox.com/scl/fi/9i5tl33djbl2s5v7tl98i/41142.pdf?rlkey=681sh7twg6p121aecuwj0u2sm&amp;dl=0" xr:uid="{845ED27D-0D87-814F-8CF6-C2014EBEC808}"/>
    <hyperlink ref="A702" r:id="rId32" display="https://www.dropbox.com/scl/fi/775hb10sh9noyr9xx8s16/41111.pdf?rlkey=lz3kfm77horkih7w54l07zfz1&amp;dl=0" xr:uid="{B52E0DC0-3D46-2D44-9ACD-9A99DBBC2B2F}"/>
    <hyperlink ref="A657" r:id="rId33" display="https://www.dropbox.com/scl/fi/6ix06suwueb22xifxe34p/40994.pdf?rlkey=jozr9emza5kq6oh65tm31bwmb&amp;dl=0" xr:uid="{D3ECCF46-071C-CD48-8A05-795D4B17F0A8}"/>
    <hyperlink ref="A682" r:id="rId34" display="https://www.dropbox.com/scl/fi/ydxtgb6w6y7ynnq2bgs18/41065.pdf?rlkey=0hahee95s8i1f63qr1f9vtpdr&amp;dl=0" xr:uid="{2FB89CA7-AFEF-D544-9CFC-1C37D2818EB9}"/>
    <hyperlink ref="A719" r:id="rId35" display="https://www.dropbox.com/scl/fi/ulwwliltrl4vpdxezujki/41144.pdf?rlkey=yzx7nqa9ps2n0xnjusew0prlc&amp;dl=0" xr:uid="{21E6E1D0-90C6-8947-AE01-5606837A6630}"/>
    <hyperlink ref="A683" r:id="rId36" display="https://www.dropbox.com/scl/fi/bbxwow7i9zz2twn6g83wq/41066.pdf?rlkey=v7eih5r6m8bwoqm8hcg1gnbip&amp;dl=0" xr:uid="{B079B50E-8D37-6E4A-892C-A20B417131F5}"/>
    <hyperlink ref="A669" r:id="rId37" display="https://www.dropbox.com/scl/fi/u6sa3faoo35wa9helsz42/41029.pdf?rlkey=mbmufzzafcxn0pwmmlp9f1kb1&amp;dl=0" xr:uid="{B50AD5E6-C2AD-0D49-A264-690A10A65C85}"/>
    <hyperlink ref="A684" r:id="rId38" display="https://www.dropbox.com/scl/fi/3kwhja24b13kmv8u4ns4y/41067.pdf?rlkey=cqw2sa793ipmx6gtz4hw6x1hp&amp;dl=0" xr:uid="{92F2696D-BC22-A743-A5F8-59772F0437A2}"/>
    <hyperlink ref="A660" r:id="rId39" display="https://www.dropbox.com/scl/fi/hrgmybkks7kcytd7rvp12/40999.pdf?rlkey=0q8nll211nemgcmicolfe9cl2&amp;dl=0" xr:uid="{9F82BB8B-297D-524F-A13F-2E4E39C42F99}"/>
    <hyperlink ref="A658" r:id="rId40" display="https://www.dropbox.com/scl/fi/1kxwm0kiyue9ypnezf392/40997.pdf?rlkey=clrwpo2cv68qpo0aitzgwutvj&amp;dl=0" xr:uid="{0B3B6F2C-0868-FE4D-9EDF-1CFB4D89B491}"/>
    <hyperlink ref="A659" r:id="rId41" display="https://www.dropbox.com/scl/fi/je652eczghfao7ol85efr/40998.pdf?rlkey=0ml29fy67dkw3lweu4jutc1fi&amp;dl=0" xr:uid="{D2AE63D3-BDAD-B748-B2DB-66654FCE4944}"/>
    <hyperlink ref="A651" r:id="rId42" display="https://www.dropbox.com/scl/fi/1nw8sjvbt9p43t6v97j0h/40982.pdf?rlkey=lqyhimw0gcfjit5xfytexm5wb&amp;dl=0" xr:uid="{66D5108D-8A62-2342-BC74-A58F754FBC57}"/>
    <hyperlink ref="A662" r:id="rId43" display="https://www.dropbox.com/scl/fi/g7ikppell275atbwligpj/41002.pdf?rlkey=dmxwizysvaemwvj1uqy88ho3e&amp;dl=0" xr:uid="{0568F2B6-A653-B747-A3EF-D8C03B38124A}"/>
    <hyperlink ref="A679" r:id="rId44" display="https://www.dropbox.com/scl/fi/0lbro3u0k3z2a265v4qsq/41056.pdf?rlkey=eab5xglq83nqq2rkl6vxtrop2&amp;dl=0" xr:uid="{E3CA3561-1561-EB49-AF53-BB46F3158F1E}"/>
    <hyperlink ref="A697" r:id="rId45" display="https://www.dropbox.com/scl/fi/b227p87makqfjykf4fn40/41087.pdf?rlkey=4tjh9qcjor0gww4s05t3ieked&amp;dl=0" xr:uid="{D46016EC-F142-594B-A2B0-A1BCE84AE13B}"/>
    <hyperlink ref="A698" r:id="rId46" display="https://www.dropbox.com/scl/fi/85juh3p2ksuujzpx4ba6x/41088.pdf?rlkey=hqdcu3frykwlxq9jpiu8aoaq2&amp;dl=0" xr:uid="{2C057607-AD96-314E-BD02-2DAB2E4CEDBE}"/>
    <hyperlink ref="A571" r:id="rId47" display="https://www.dropbox.com/scl/fi/wl464mmcds6bnjesxdkhe/40761.pdf?rlkey=y2xh1n38843dd8paxwhrkjtwa&amp;dl=0" xr:uid="{91CE036B-08BF-1845-B35F-22D798EEF1F9}"/>
    <hyperlink ref="A664" r:id="rId48" display="https://www.dropbox.com/scl/fi/duz22j8x0txyfey1l8dvv/41007.pdf?rlkey=1mx38n0tgjhgsmsrxkemf0jdy&amp;dl=0" xr:uid="{A9C8CA90-D550-FF4C-BC2D-0A99F131253C}"/>
    <hyperlink ref="A671" r:id="rId49" display="https://www.dropbox.com/scl/fi/ub8w759ai4vhf9uk470n3/41045.pdf?rlkey=wbix0en9ocjv0vipm6asqexfb&amp;dl=0" xr:uid="{1EBF8953-F522-BF47-93AF-FC3E2CF3543D}"/>
    <hyperlink ref="A681" r:id="rId50" display="https://www.dropbox.com/scl/fi/zh9zg51zerd3x09czkfwe/41064.pdf?rlkey=bjfb46xl8qbm8g7lfknydbom1&amp;dl=0" xr:uid="{4E0B554D-7A3B-D940-B959-AF30954A7D85}"/>
    <hyperlink ref="A685" r:id="rId51" display="https://www.dropbox.com/scl/fi/d4mn0mxo83hnvt41ateg2/41068.pdf?rlkey=6o60le6g5rsipdri9x6gp5cuj&amp;dl=0" xr:uid="{2D42D42E-03A5-8C4C-BB52-D3EB14D4D128}"/>
    <hyperlink ref="A661" r:id="rId52" display="https://www.dropbox.com/scl/fi/8ji1hv4ooacsy3k2t9zdh/41000.pdf?rlkey=hz7cpwbacnfxj3c1v8qc44qlk&amp;dl=0" xr:uid="{9E248010-C5C9-2D4A-B8BC-180FA6B0DF43}"/>
    <hyperlink ref="A807" r:id="rId53" display="https://www.dropbox.com/scl/fi/pvup3ybpxnu22pvdb4foy/41329.pdf?rlkey=vs0ljpd1rcqhfy02vxdohjx01&amp;dl=0" xr:uid="{B5B58009-186D-2B4A-8B13-F83B411EAFBA}"/>
    <hyperlink ref="A809" r:id="rId54" display="https://www.dropbox.com/scl/fi/5nbmpw5o0wq5d1cx0frux/41331.pdf?rlkey=4jx4irujdcsdthsmi3zz08mch&amp;dl=0" xr:uid="{D3A927F0-793E-6D49-9C12-90DFCE174082}"/>
    <hyperlink ref="A808" r:id="rId55" display="https://www.dropbox.com/scl/fi/adb3jqj35azeslwsbkvu9/41330.pdf?rlkey=hokqn9ikyzbxrmf2h4fsjj4q2&amp;dl=0" xr:uid="{7C23C36F-720D-914B-9D6E-AC17BF310EB7}"/>
    <hyperlink ref="A762" r:id="rId56" display="https://www.dropbox.com/scl/fi/sqqrkhhao20qjwttls5t7/41229.pdf?rlkey=nfk1ral1ckfigudg33e19104q&amp;dl=0" xr:uid="{9A1B468A-CC3F-B741-9269-1E828F0A0852}"/>
    <hyperlink ref="A781" r:id="rId57" display="https://www.dropbox.com/scl/fi/tqu753h5dwoh9fuipy4nj/41285.pdf?rlkey=d348pylbych4ui9falnr5v09z&amp;dl=0" xr:uid="{858A48D2-6C21-0443-9FC5-1F3679195ACF}"/>
    <hyperlink ref="A764" r:id="rId58" display="https://www.dropbox.com/scl/fi/fsfh664j5k7rxp768ri3b/41232.pdf?rlkey=3tbrkdhwmnxc95e50i16h46eu&amp;dl=0" xr:uid="{71080121-CD64-EF43-882D-626FC38F3587}"/>
    <hyperlink ref="A780" r:id="rId59" display="https://www.dropbox.com/scl/fi/cgu2d4g6wxf8fjsj8308o/41284.pdf?rlkey=qn38cyep5jln1ys0ovlb2xeck&amp;dl=0" xr:uid="{DF43BB04-76DB-7F4B-A1DE-01C4A89ED4C6}"/>
    <hyperlink ref="A784" r:id="rId60" display="https://www.dropbox.com/scl/fi/97r39yzt487vxqwdd7bmm/41288.pdf?rlkey=lmdithpr4ss9xa2hueycpge0c&amp;dl=0" xr:uid="{642EAB73-348E-4C4F-A4AB-5A884545B0C6}"/>
    <hyperlink ref="A783" r:id="rId61" display="https://www.dropbox.com/scl/fi/knpcavfw413814klrstip/41287.pdf?rlkey=65p4qyun26gl0m1983f9iqpjd&amp;dl=0" xr:uid="{93F45A44-03B4-D847-B4AD-1B69EDECD294}"/>
    <hyperlink ref="A712" r:id="rId62" display="https://www.dropbox.com/scl/fi/jlhiv2uuisdczixiy1ups/41131.pdf?rlkey=50rtd5cmyr3msl3stc25asy0k&amp;dl=0" xr:uid="{DABBCCF1-946F-3340-9B17-9CCA88F51B32}"/>
    <hyperlink ref="A765" r:id="rId63" display="https://www.dropbox.com/scl/fi/4vv3k711y63426gdq9iv8/41233.pdf?rlkey=gd2bj5mbz27xayl3xn27tkzp4&amp;dl=0" xr:uid="{F3FA8B26-F3F4-9542-AA59-4F268EA4E907}"/>
    <hyperlink ref="A623" r:id="rId64" display="https://www.dropbox.com/scl/fi/dcjle1cnv6zf3dzcsuba8/40917.pdf?rlkey=dfm21uzy01s66c317d0tddgs5&amp;dl=0" xr:uid="{7AA8CEE4-CABC-C946-9EB2-74809D2ED187}"/>
    <hyperlink ref="A413" r:id="rId65" display="https://www.dropbox.com/scl/fi/ydj4orsj50833ftv4067r/40141.pdf?rlkey=e2j82g5sjq7hxvshbst7yqecx&amp;dl=0" xr:uid="{55671854-7A77-E542-BBA0-135289E68594}"/>
    <hyperlink ref="A677" r:id="rId66" display="https://www.dropbox.com/scl/fi/lvltjq2gs10vthebdbqm4/41054.pdf?rlkey=gzgqbknkm687rrvm0o4zp1w6q&amp;dl=0" xr:uid="{3430BE03-6C45-8341-9434-4C8D1AF582B8}"/>
    <hyperlink ref="A701" r:id="rId67" display="https://www.dropbox.com/scl/fi/4l6lpja35t5l6bvctorma/41110.pdf?rlkey=apom3d5pptzhzj30b2tnavrnl&amp;dl=0" xr:uid="{7B65A630-AA68-6640-8ECE-2D235EA5FF1F}"/>
    <hyperlink ref="A767" r:id="rId68" display="https://www.dropbox.com/scl/fi/iz0rqqxxkse69m6z1xkyk/41235.pdf?rlkey=vnlxoh3mfgersfh8n25w6j4au&amp;dl=0" xr:uid="{D50E7713-4AEB-3B44-A1C7-902A385E34C5}"/>
    <hyperlink ref="A743" r:id="rId69" display="https://www.dropbox.com/scl/fi/wjlsjmlt6c0qk2n0isyj5/41201.pdf?rlkey=co16em26qqgpwckkzs8z1axjc&amp;dl=0" xr:uid="{371622AC-860C-7C4A-B469-52BE058CC0B4}"/>
    <hyperlink ref="A707" r:id="rId70" display="https://www.dropbox.com/scl/fi/vnl31pmo17sd4actcem7f/41118.pdf?rlkey=u3h8urswtj6xg1b1mtufckkxi&amp;dl=0" xr:uid="{B59E00AE-DA03-5844-AB7C-7BA5675B01EF}"/>
    <hyperlink ref="A489" r:id="rId71" display="https://www.dropbox.com/scl/fi/793w32kbmajt9knz4ueae/40354.pdf?rlkey=qnu5nncft8bvtus5rqlktxrxc&amp;dl=0" xr:uid="{EA69AC43-669C-C847-8D92-90C32FB0B46B}"/>
    <hyperlink ref="A706" r:id="rId72" display="https://www.dropbox.com/scl/fi/hmd2qvdoqmv7mutwmgftt/41117.pdf?rlkey=j5kx8qaj4e4ftpmkz766eiavb&amp;dl=0" xr:uid="{28A45FFF-E487-6A49-8DBE-8482E1838D08}"/>
    <hyperlink ref="A678" r:id="rId73" display="https://www.dropbox.com/scl/fi/r54td685vlsmwcsu5bvlm/41055.pdf?rlkey=pyla9kjbkwlrt6un8amk268vt&amp;dl=0" xr:uid="{5F0EEC0A-6570-B943-B8F8-672FD0A616DA}"/>
    <hyperlink ref="A355" r:id="rId74" display="https://www.dropbox.com/scl/fi/dog3aaqj9g4cnfft5z64h/40024.pdf?rlkey=z2xkybgql0oqwd1ebzvve60lr&amp;dl=0" xr:uid="{C48F5A4B-48C7-2A4F-9021-ADDCDAD6EA10}"/>
    <hyperlink ref="A799" r:id="rId75" display="https://www.dropbox.com/scl/fi/vjmkr1eu4ydw17q9cfejs/41304.pdf?rlkey=b0221xwn6g2vqoe2e8rb98j4r&amp;dl=0" xr:uid="{7B75435D-FB37-3C4D-9F5D-62FC553FA78F}"/>
    <hyperlink ref="A705" r:id="rId76" display="https://www.dropbox.com/scl/fi/r4xcvq74m5yeibif2cp9e/41114.pdf?rlkey=sub90wgrnodqr4w8fz6b47tlo&amp;dl=0" xr:uid="{4190D321-659B-674A-9EC6-1F147C7FAA45}"/>
    <hyperlink ref="A703" r:id="rId77" display="https://www.dropbox.com/scl/fi/qmaxgygpbji04cllidgzv/41112.pdf?rlkey=hai9i0ifegb8snpd91xg6q4ph&amp;dl=0" xr:uid="{69A96CD1-E7F8-0F47-BA6D-D30F7FB964BA}"/>
    <hyperlink ref="A749" r:id="rId78" display="https://www.dropbox.com/scl/fi/4rl7h46etnkwq2nalkmtw/41216.pdf?rlkey=z2rhx9tqlo3vwyojj3cittjtr&amp;dl=0" xr:uid="{9848E40C-DF92-D44F-A7E9-77B43CCDBBCD}"/>
    <hyperlink ref="A584" r:id="rId79" display="https://www.dropbox.com/scl/fi/whnn9zawoa71ksims8i2w/40811.pdf?rlkey=ye05vrhjt30qn84apyros7yvk&amp;dl=0" xr:uid="{29D31118-1714-8545-97AE-396238C8C33E}"/>
    <hyperlink ref="A804" r:id="rId80" display="https://www.dropbox.com/scl/fi/dlyz5yncim1ic8t74p44m/41320.pdf?rlkey=fs8muwzv9bbhyxfluqbfxvodc&amp;dl=0" xr:uid="{F6534E72-BF23-114C-BA77-A8CF6AA6DBB0}"/>
    <hyperlink ref="A779" r:id="rId81" display="https://www.dropbox.com/scl/fi/91l9jfelq6aknsokw1dcm/41273.pdf?rlkey=tcglanxsehraiquv80pbzt25l&amp;dl=0" xr:uid="{ACD6D6FA-0F00-2A44-8510-E385895F3C84}"/>
    <hyperlink ref="A774" r:id="rId82" display="https://www.dropbox.com/scl/fi/35b8eigzqlyy6d4sv0f95/41250.pdf?rlkey=zswv5fzslkmal6qga5ouzjp4i&amp;dl=0" xr:uid="{182A32AB-F3F7-1F47-82F5-B776F802000D}"/>
    <hyperlink ref="A806" r:id="rId83" display="https://www.dropbox.com/scl/fi/794b0972ukjxqctvbj1vi/41326.pdf?rlkey=ng3zku3dxq62so1y0en8rrwtx&amp;dl=0" xr:uid="{F6318547-D6B9-7043-B7DA-54D557E55149}"/>
    <hyperlink ref="A782" r:id="rId84" display="https://www.dropbox.com/scl/fi/1lbamx3gh6q5kt4j0ymqx/41286.pdf?rlkey=isqpxehm5lkxzhe4z1las7apb&amp;dl=0" xr:uid="{0A297B9F-6047-5644-A4DC-D7F5D0217330}"/>
    <hyperlink ref="A687" r:id="rId85" display="https://www.dropbox.com/scl/fi/0pbcoocijtcs001vtp2sm/41075.pdf?rlkey=jz6hxmcpwj6tg79nttrukcylx&amp;dl=0" xr:uid="{DBF8AD4C-5A5E-0D41-B0E6-C9F0839AD78E}"/>
    <hyperlink ref="A689" r:id="rId86" display="https://www.dropbox.com/scl/fi/6bv5paaes9uwtwa7w5a2a/41077.pdf?rlkey=jxnh4v5w4862qc4cyqjophs7s&amp;dl=0" xr:uid="{028232BE-F897-7B45-B9A0-3A327DBA7815}"/>
    <hyperlink ref="A690" r:id="rId87" display="https://www.dropbox.com/scl/fi/lygytu8vuqg44azsozpg1/41078.pdf?rlkey=cxqjhnnc87dkm4o65fghddakr&amp;dl=0" xr:uid="{2518C9D9-61F3-7749-BDD4-6A29208F504C}"/>
    <hyperlink ref="A691" r:id="rId88" display="https://www.dropbox.com/scl/fi/m33gdc3q6ubrqgxk4x6l5/41079.pdf?rlkey=xa8uofcmfz4frzks6zyb07dyt&amp;dl=0" xr:uid="{4E504E2E-A764-DE43-B0E7-081326E8C5F0}"/>
    <hyperlink ref="A770" r:id="rId89" display="https://www.dropbox.com/scl/fi/6vxs6xhmnfxf7vv1gv982/41246.pdf?rlkey=746bxroh1kdidiq5z0xmyvqmp&amp;dl=0" xr:uid="{585C812B-622A-2245-8D1E-CDA430A3DCFD}"/>
    <hyperlink ref="A802" r:id="rId90" display="https://www.dropbox.com/scl/fi/e1tj37e57b7jrz1tqvvhk/41309.pdf?rlkey=5bp00zufzizkakvaivlwc2arq&amp;dl=0" xr:uid="{F407F6DE-C0B2-E24E-8E4C-5B71A89D36AA}"/>
    <hyperlink ref="A805" r:id="rId91" display="https://www.dropbox.com/scl/fi/dqsn3qr8v17nsmwvzmx11/41321.pdf?rlkey=h4y28m74zmzc1wlukqbdv8ay9&amp;dl=0" xr:uid="{1C2B14B3-7B23-FB43-A6B3-46E28F526261}"/>
    <hyperlink ref="A824" r:id="rId92" display="https://www.dropbox.com/scl/fi/ylidr89xnbcgwi5lio820/41386.pdf?rlkey=6yexez12rcqsz9bvm5nb47bpz&amp;dl=0" xr:uid="{129ADB6C-439A-0E4E-BD19-54290D3BABD1}"/>
    <hyperlink ref="A798" r:id="rId93" display="https://www.dropbox.com/scl/fi/tpi65gvpsj8u4e9v1mzx7/41303.pdf?rlkey=5oikjk2ogvtnl92edvtovd8mc&amp;dl=0" xr:uid="{4B60C34C-3326-5D42-A67F-B70DAF787470}"/>
    <hyperlink ref="A655" r:id="rId94" display="https://www.dropbox.com/scl/fi/ltlg2sby7fcm9nf6g0td4/40992.pdf?rlkey=c2cijad7ss9ucndu5zb1z0dg4&amp;dl=0" xr:uid="{AE1FC61F-9849-1140-BC26-A4C18EF60BFE}"/>
    <hyperlink ref="A759" r:id="rId95" display="https://www.dropbox.com/scl/fi/rdpmofwzsugr6eppmr5is/41226.pdf?rlkey=uxa0dzbhtdtpd6lk8f7u4z8ay&amp;dl=0" xr:uid="{DE64DC46-AE64-9643-8879-9AC413CE8FA7}"/>
    <hyperlink ref="A761" r:id="rId96" display="https://www.dropbox.com/scl/fi/f9dn6mk42ele43zuohc3i/41228.pdf?rlkey=prgtkjk4rfnx4uv9snzknixej&amp;dl=0" xr:uid="{7822C4D9-863E-0C4F-8DEC-E4F72FE00FF9}"/>
    <hyperlink ref="A721" r:id="rId97" display="https://www.dropbox.com/scl/fi/082ve8de7tjh0iipxnn7q/41146.pdf?rlkey=rg8qfwh57rpb1sjcp4suwxu9n&amp;dl=0" xr:uid="{26877951-4899-4C43-AF8A-AA325E9E2438}"/>
    <hyperlink ref="A527" r:id="rId98" display="https://www.dropbox.com/scl/fi/f1wenooc55v3epjiavhp3/40431.pdf?rlkey=ofs9pzmgtrztm0ac00jfw3vax&amp;dl=0" xr:uid="{19AEBF2B-F73D-364B-9358-0CEC516B763D}"/>
    <hyperlink ref="A777" r:id="rId99" display="https://www.dropbox.com/scl/fi/50ilh5dd8ceffjwcg8ynh/41269.pdf?rlkey=m7grja3w3rjdujcnl0bwmcyzj&amp;dl=0" xr:uid="{8D8D22B1-E1AF-9240-B03C-7266F107E386}"/>
    <hyperlink ref="A735" r:id="rId100" display="https://www.dropbox.com/scl/fi/m21ffqcjxvhfytaoixtxf/41178.pdf?rlkey=i57nx44nwarrp9ixbqy040lbv&amp;dl=0" xr:uid="{9C6898A2-3C03-CD4A-B518-8295D0AF8B94}"/>
    <hyperlink ref="A711" r:id="rId101" display="https://www.dropbox.com/scl/fi/21cl6o9y3ehpulpoubw84/41130.pdf?rlkey=rrj3g84ohp5wg9uw69c392bal&amp;dl=0" xr:uid="{D31918D4-699C-4A4E-94EB-70148FD2B068}"/>
    <hyperlink ref="A530" r:id="rId102" display="https://www.dropbox.com/scl/fi/enitxucn1kc8mz68etvp6/40449.pdf?rlkey=r60xe0ete20ntxg323fssj8op&amp;dl=0" xr:uid="{2716320E-CF39-564F-94DB-163CF647E95F}"/>
    <hyperlink ref="A710" r:id="rId103" display="https://www.dropbox.com/scl/fi/mha7qbo50i0yn8xclelcl/41128.pdf?rlkey=d0nbnldttovam3atjrb7yw1uw&amp;dl=0" xr:uid="{F21601CC-48C8-5A40-9633-1C3AE935EE0E}"/>
    <hyperlink ref="A720" r:id="rId104" display="https://www.dropbox.com/scl/fi/041figxbvjbclnsre97kg/41145.pdf?rlkey=ly3aked12g3oregy683fu38a4&amp;dl=0" xr:uid="{E49D728B-AE96-7F4F-AE8D-E4889B123FAF}"/>
    <hyperlink ref="A468" r:id="rId105" display="https://www.dropbox.com/scl/fi/40jf1jeynz57qy7qmssrq/40273.pdf?rlkey=tp8f6wq9857qlky67z333gu8y&amp;dl=0" xr:uid="{ADC4CE6E-55D9-2A4C-93AA-357E3BD7B0C7}"/>
    <hyperlink ref="A820" r:id="rId106" display="https://www.dropbox.com/scl/fi/j95ue82gwn0nr38uj5l7x/41361.pdf?rlkey=enpexdsm7rj2fi6ylz40ydnq9&amp;dl=0" xr:uid="{BCBDBC89-8F34-8345-BF0A-CB2B3506106C}"/>
    <hyperlink ref="A723" r:id="rId107" display="https://www.dropbox.com/scl/fi/6d5nzkdc19pwierj9yfsv/41150.pdf?rlkey=i3a3zjf49i3jhsz4z0bc0nw0o&amp;dl=0" xr:uid="{C25A5388-C087-444E-9583-93E7E9E21120}"/>
    <hyperlink ref="A585" r:id="rId108" display="https://www.dropbox.com/scl/fi/21ckcjzdpj4vk9tfhz78w/40812.pdf?rlkey=xzs7xmourv17ft6mn715kkm23&amp;dl=0" xr:uid="{745F0C5C-B09B-6148-9481-944CEA6DD2BE}"/>
    <hyperlink ref="A586" r:id="rId109" display="https://www.dropbox.com/scl/fi/7uqxsuxh5ncykpr7mbp4i/40813.pdf?rlkey=4eq0t7l32kbnobo45mmls04b9&amp;dl=0" xr:uid="{8561117F-7C30-B742-8392-C43D0B8A9009}"/>
    <hyperlink ref="A587" r:id="rId110" display="https://www.dropbox.com/scl/fi/2y2md5ol2zb0hdjay3i8t/40814.pdf?rlkey=5cl7m59p25kl40tewquwsp16c&amp;dl=0" xr:uid="{95A12882-5E7E-754A-BFBE-0414A4BA10E9}"/>
    <hyperlink ref="A588" r:id="rId111" display="https://www.dropbox.com/scl/fi/qfrtubm82j2gpa4nb4hzq/40815.pdf?rlkey=8o5qha553v0cxc8p7ored3x9f&amp;dl=0" xr:uid="{FA9F9F82-370B-D041-9473-AD3DB8B7443D}"/>
    <hyperlink ref="A589" r:id="rId112" display="https://www.dropbox.com/scl/fi/o7rnnbqq4o9espplgn5rf/40816.pdf?rlkey=d8odal55dpw2u1qcligu1xquv&amp;dl=0" xr:uid="{E59B5B95-C22F-9E45-8DA2-208885BEA617}"/>
    <hyperlink ref="A590" r:id="rId113" display="https://www.dropbox.com/scl/fi/nuz7zx2onhq3sy9oy5dcs/40817.pdf?rlkey=0nzlyhmgpz2omtd6n5o98hvs8&amp;dl=0" xr:uid="{8FA72517-ED93-FB4D-A343-5D3E863D3F68}"/>
    <hyperlink ref="A591" r:id="rId114" display="https://www.dropbox.com/scl/fi/5sypwc4vyboc2ru9o8ahw/40818.pdf?rlkey=5pp9fxvdcza3ql727qaggwgev&amp;dl=0" xr:uid="{E8E51961-977C-2647-8F8B-1846EA98FEC4}"/>
    <hyperlink ref="A592" r:id="rId115" display="https://www.dropbox.com/scl/fi/pkf603vnqeqnppdefra9h/40819.pdf?rlkey=hcvd5smcw11easj31wmf7c840&amp;dl=0" xr:uid="{B9935BA4-25A3-0D40-891C-F4FFB31DF8B2}"/>
    <hyperlink ref="A593" r:id="rId116" display="https://www.dropbox.com/scl/fi/h3l7vhobiw9w3cf92wum6/40820.pdf?rlkey=z4caa0i3finc2t9wzgswedstw&amp;dl=0" xr:uid="{B24EEC86-A9C0-814F-B8F8-D83B48C3DBD9}"/>
    <hyperlink ref="A594" r:id="rId117" display="https://www.dropbox.com/scl/fi/dd75krh2t4oqgrektq20h/40821.pdf?rlkey=ye6o9kjp34wg2loii3cmhqcjt&amp;dl=0" xr:uid="{125CA637-CDDD-274B-956B-08210B0581BF}"/>
    <hyperlink ref="A644" r:id="rId118" display="https://www.dropbox.com/scl/fi/ti0z00klu6vch2g3gtgzr/40963.pdf?rlkey=50g6hdq69hvvmbcxvu9rgnm1p&amp;dl=0" xr:uid="{E15E21AA-DFD2-4A4E-97F0-61A5FDE0539A}"/>
    <hyperlink ref="A665" r:id="rId119" display="https://www.dropbox.com/scl/fi/rxjljym93ulaa05m8dfmo/41020.pdf?rlkey=s74a8nw2b9tk8yl3my6g4094a&amp;dl=0" xr:uid="{87E5CCA2-7DF4-1648-8647-D4A287B48194}"/>
    <hyperlink ref="A666" r:id="rId120" display="https://www.dropbox.com/scl/fi/4kkba2fr0pxfdgltoi2w1/41022.pdf?rlkey=bz9bhcxrudvxasryr3n5fjr77&amp;dl=0" xr:uid="{F023799A-EE6B-2B43-9654-7C6D036E9D78}"/>
    <hyperlink ref="A667" r:id="rId121" display="https://www.dropbox.com/scl/fi/5tmtbg3q8a4d9asiq583o/41023.pdf?rlkey=zkx937g2jnwhevjux0o9h7wwi&amp;dl=0" xr:uid="{BB559D16-A861-8A46-8FBD-51FFD8DDBC97}"/>
    <hyperlink ref="A668" r:id="rId122" display="https://www.dropbox.com/scl/fi/x8uubh3c9ihyig1adqmfp/41024.pdf?rlkey=nju2oxvnmtp4t428yik3cruu7&amp;dl=0" xr:uid="{1B3F178D-5C96-FA43-BA53-DCD6E757033B}"/>
    <hyperlink ref="A670" r:id="rId123" display="https://www.dropbox.com/scl/fi/140d8rnjynlstb1u0dli1/41043.pdf?rlkey=x6hhdejnrb334o2eg2vmx18wn&amp;dl=0" xr:uid="{78A64C67-98F9-154D-956C-25A31A240C90}"/>
    <hyperlink ref="A672" r:id="rId124" display="https://www.dropbox.com/scl/fi/w16iqe70l6embw0z54hkj/41046.pdf?rlkey=ilr15ga0xe1726pg7s21rti4n&amp;dl=0" xr:uid="{F7539E3B-C5FF-C84D-BE58-BF5193048A31}"/>
    <hyperlink ref="A675" r:id="rId125" display="https://www.dropbox.com/scl/fi/o2bdejeozcom2xrpzrzfv/41052.pdf?rlkey=okmg3x0vbwqhzsqj8s9u6mgpq&amp;dl=0" xr:uid="{AA3F3D43-3EDD-524D-836C-49B92DEB7A54}"/>
    <hyperlink ref="A688" r:id="rId126" display="https://www.dropbox.com/scl/fi/qe45nz60ookh5870d9juo/41076.pdf?rlkey=v199gojil316jwfgapsud1v2p&amp;dl=0" xr:uid="{6F0859C6-CE54-E94D-B235-C629780EB5B4}"/>
    <hyperlink ref="A692" r:id="rId127" display="https://www.dropbox.com/scl/fi/6axwi4xfvwoq5cengfnnz/41080.pdf?rlkey=36yquyxpwrx03mbnwr8980qh9&amp;dl=0" xr:uid="{032218B4-A300-A146-9EE5-43FBE68ADB0F}"/>
    <hyperlink ref="A693" r:id="rId128" display="https://www.dropbox.com/scl/fi/7ivzccpxbypade07cei1a/41081.pdf?rlkey=txcsve2bt8131k33rer888nep&amp;dl=0" xr:uid="{994374F3-1947-FB41-9ED5-AAB073453336}"/>
    <hyperlink ref="A694" r:id="rId129" display="https://www.dropbox.com/scl/fi/espfwfudjjzhzws0eukns/41082.pdf?rlkey=2gcupxjnr9u5750n0yirluav8&amp;dl=0" xr:uid="{CFFC8278-4CEE-7743-98F8-47F8D985306B}"/>
    <hyperlink ref="A695" r:id="rId130" display="https://www.dropbox.com/scl/fi/xhh6yxdhh8x9tul0fn3xv/41083.pdf?rlkey=i1vllbxb9w2gjl892tfrcdi9x&amp;dl=0" xr:uid="{44A0736C-E3C0-DA43-97AC-451CD1EDD252}"/>
    <hyperlink ref="A696" r:id="rId131" display="https://www.dropbox.com/scl/fi/1ih9fl5ely8g8bcchse1h/41085.pdf?rlkey=a00nkd4i1v6ov1r7a086ky2ar&amp;dl=0" xr:uid="{A60A2CA7-4E85-0444-96EC-90CC754C88C9}"/>
    <hyperlink ref="A699" r:id="rId132" display="https://www.dropbox.com/scl/fi/0uhpaf8h61tkffcwo4cu0/41089.pdf?rlkey=ul5zjgnmckic9axp923djkc3o&amp;dl=0" xr:uid="{71D602EB-C6FC-604E-B107-D4E7F318F483}"/>
    <hyperlink ref="A700" r:id="rId133" display="https://www.dropbox.com/scl/fi/87b0t1rx2smpgnoymz7lu/41093.pdf?rlkey=5t2ow8doxh9lnejxf3mtm19yc&amp;dl=0" xr:uid="{23120114-CF79-3D48-8D0F-80176C28166C}"/>
    <hyperlink ref="A704" r:id="rId134" display="https://www.dropbox.com/scl/fi/hfsx7vof4w20cbzkv9ue5/41113.pdf?rlkey=hz8a9cgez6noru60lpzly71my&amp;dl=0" xr:uid="{50698391-E676-FB46-9C96-6A08CFD37F0C}"/>
    <hyperlink ref="A708" r:id="rId135" display="https://www.dropbox.com/scl/fi/iv0707wxscy11fxmw6y72/41123.pdf?rlkey=cxct8hbf9bsuggp1zfzp7x9dr&amp;dl=0" xr:uid="{140A5510-F401-4B42-9253-453CDC84B8DB}"/>
    <hyperlink ref="A713" r:id="rId136" display="https://www.dropbox.com/scl/fi/28xzf79coxzdtatb4rf41/41136.pdf?rlkey=tiahkdj2wczn2t8jte77vbffu&amp;dl=0" xr:uid="{AC108EC8-CD42-6C47-B8B0-48FAF5A7F517}"/>
    <hyperlink ref="A714" r:id="rId137" display="https://www.dropbox.com/scl/fi/skl95au1ug0ez3zhj3cw2/41139.pdf?rlkey=fccnyx5r913gfxwvf38ow8vsn&amp;dl=0" xr:uid="{7517DAC0-75AD-C241-B42B-17DBE5BDFD19}"/>
    <hyperlink ref="A715" r:id="rId138" display="https://www.dropbox.com/scl/fi/fygu9ko3mt3aunrjawnhf/41140.pdf?rlkey=afkh4sgkouohhjoavpkg5x868&amp;dl=0" xr:uid="{298F91A9-E0DD-2A4C-ADA1-CF6A71D35C0B}"/>
    <hyperlink ref="A716" r:id="rId139" display="https://www.dropbox.com/scl/fi/6l5cpkarcvfkhw8o7dr50/41141.pdf?rlkey=psq9isprdhn4jhizknk0azqhb&amp;dl=0" xr:uid="{30C27140-CAE3-8B43-A626-C292E5BD6385}"/>
    <hyperlink ref="A722" r:id="rId140" display="https://www.dropbox.com/scl/fi/2xky80fky8ali1359n8nn/41149.pdf?rlkey=ocbfmalh9mdiakgyjjqbvzy94&amp;dl=0" xr:uid="{28FF330E-5EC2-2949-ABC4-987BD7875239}"/>
    <hyperlink ref="A724" r:id="rId141" display="https://www.dropbox.com/scl/fi/c1g4obku6vhi98jzkvcoq/41156.pdf?rlkey=qbr8z2gksc1tbc5zbzdcotkj6&amp;dl=0" xr:uid="{C9E9900C-BB8B-534D-A978-87A95285DE6A}"/>
    <hyperlink ref="A725" r:id="rId142" display="https://www.dropbox.com/scl/fi/o6d19nh780znnzvpdjqgq/41157.pdf?rlkey=lhyuv7ybnha0ss7pxsosafz9o&amp;dl=0" xr:uid="{341410D3-6BF6-EB43-A100-D799ABE4EE9E}"/>
    <hyperlink ref="A726" r:id="rId143" display="https://www.dropbox.com/scl/fi/lzwmld02thv5vqaf7w3bf/41159.pdf?rlkey=08mhpnmrs4oubqb7jv5ihwy19&amp;dl=0" xr:uid="{E8D642CA-CC56-FC44-84BB-9762229B7310}"/>
    <hyperlink ref="A727" r:id="rId144" display="https://www.dropbox.com/scl/fi/am91omdpjx1o8m7twjg4p/41165.pdf?rlkey=19nrzwnixhf1p2hsubb6s7d1j&amp;dl=0" xr:uid="{4A15650D-784B-E846-9A67-E21270D7DE26}"/>
    <hyperlink ref="A728" r:id="rId145" display="https://www.dropbox.com/scl/fi/57vvzs8miqxsj144qimxa/41166.pdf?rlkey=m58yos45po41pq6wpvx3nxeic&amp;dl=0" xr:uid="{8390437A-B3CA-0C49-A2B3-B033769C1FFF}"/>
    <hyperlink ref="A729" r:id="rId146" display="https://www.dropbox.com/scl/fi/z4ef5e645rvnfwtihtekr/41170.pdf?rlkey=4rdfdk0v63cmobhpfat191tkc&amp;dl=0" xr:uid="{85D23770-826E-AE4C-A22B-DC40D1990D14}"/>
    <hyperlink ref="A730" r:id="rId147" display="https://www.dropbox.com/scl/fi/d0xgya04wnx6dag2ukkjx/41171.pdf?rlkey=hl0k330l2y1ttk11f2qsurgql&amp;dl=0" xr:uid="{53AB66FB-52CC-424B-B446-D629BB6148AD}"/>
    <hyperlink ref="A731" r:id="rId148" display="https://www.dropbox.com/scl/fi/ptx1j26azcz20p27xbjgd/41173.pdf?rlkey=vm0t6vy6nnsx0z3vy2es8bhwn&amp;dl=0" xr:uid="{685BFEE7-4283-6741-A98B-1A2B6223D39A}"/>
    <hyperlink ref="A732" r:id="rId149" display="https://www.dropbox.com/scl/fi/2t2brqjz3fmx7oh45v7g3/41174.pdf?rlkey=skh4h3p15hyal0ymk661ufmwt&amp;dl=0" xr:uid="{F64EEF72-CED4-4B47-8FC5-C2AC93239212}"/>
    <hyperlink ref="A733" r:id="rId150" display="https://www.dropbox.com/scl/fi/3e4w1v4iqsj1i9oz5h2st/41175.pdf?rlkey=rvpq496oo358pwlkk5y48rf1t&amp;dl=0" xr:uid="{14DEC1A1-965E-7C49-BCE4-AB7F6CDFD02E}"/>
    <hyperlink ref="A734" r:id="rId151" display="https://www.dropbox.com/scl/fi/vq10guu0ql7jtp2a4or1o/41176.pdf?rlkey=o3ptplzwozafsazf73q2y8gjr&amp;dl=0" xr:uid="{23CA1232-95C0-DE4F-BC7A-45BE58449448}"/>
    <hyperlink ref="A737" r:id="rId152" display="https://www.dropbox.com/scl/fi/t4swpwc9na817go2d216h/41187.pdf?rlkey=qd77te2m1shc3hslallnxufoi&amp;dl=0" xr:uid="{6F330A00-8511-D54D-B101-56B05DCFBEB1}"/>
    <hyperlink ref="A738" r:id="rId153" display="https://www.dropbox.com/scl/fi/93nvn05nc59xa5yusygmm/41188.pdf?rlkey=l4fnotfaf0t0utzf9s2wbyoih&amp;dl=0" xr:uid="{27CB2C33-5A97-A946-8C12-3C7D41C38BF2}"/>
    <hyperlink ref="A739" r:id="rId154" display="https://www.dropbox.com/scl/fi/p5j2d802drpxg3v64t39r/41189.pdf?rlkey=z4vpaq2nvfyp311osyqf699yc&amp;dl=0" xr:uid="{39DC8250-6AF2-8F48-B743-06DCB4A89E78}"/>
    <hyperlink ref="A740" r:id="rId155" display="https://www.dropbox.com/scl/fi/xcsdgfzsg6h5l0fkszldy/41190.pdf?rlkey=mzz56yv0k7fy6q55kgqcit56d&amp;dl=0" xr:uid="{1E61203B-3923-3244-94FC-285949C61CDE}"/>
    <hyperlink ref="A741" r:id="rId156" display="https://www.dropbox.com/scl/fi/5ykphkicoyisd6n3271cx/41191.pdf?rlkey=23intokgxqf87pjgz8wzg7rab&amp;dl=0" xr:uid="{3306CB1D-EB17-D346-AA33-73665C006825}"/>
    <hyperlink ref="A742" r:id="rId157" display="https://www.dropbox.com/scl/fi/ojyx169gd9nw7nrx0vr8y/41192.pdf?rlkey=23fd847dxbwln1rcto8pf5ozo&amp;dl=0" xr:uid="{6E766831-9C32-6E4A-9E63-791470FB9AA8}"/>
    <hyperlink ref="A744" r:id="rId158" display="https://www.dropbox.com/scl/fi/2fcvhkf8elxd6ex1fsse9/41202.pdf?rlkey=oasmb37o6191osbr959tm1khh&amp;dl=0" xr:uid="{7CC0CF14-13C4-0543-A05F-DDE085F86FCB}"/>
    <hyperlink ref="A745" r:id="rId159" display="https://www.dropbox.com/scl/fi/7xl7oj1kp0o9ulmoraxs3/41207.pdf?rlkey=0n3fjg9w1eunoxy3hivfmi35k&amp;dl=0" xr:uid="{E5AAC83F-2DAD-E146-A92F-62D65E8EDCB7}"/>
    <hyperlink ref="A750" r:id="rId160" display="https://www.dropbox.com/scl/fi/ffm7prlhqj67cjl04b594/41217.pdf?rlkey=ht0gr7xp1w152gw7odp9y7ogi&amp;dl=0" xr:uid="{D588054F-B503-D44B-B01B-B9D5AF8FCA49}"/>
    <hyperlink ref="A751" r:id="rId161" display="https://www.dropbox.com/scl/fi/vfk4vm3nt94sfhso4p6eh/41218.pdf?rlkey=tnoamhd3l58vm60yfokx0otfv&amp;dl=0" xr:uid="{29BF6DF5-936F-8441-9DDA-E07EA45050DE}"/>
    <hyperlink ref="A752" r:id="rId162" display="https://www.dropbox.com/scl/fi/xxp4r9vd3vdpm9i8muglf/41219.pdf?rlkey=p09bq62vrnwur7gy0yimmwaq3&amp;dl=0" xr:uid="{221F97F4-E4E4-9D47-9AE9-8FB5DB829D9F}"/>
    <hyperlink ref="A753" r:id="rId163" display="https://www.dropbox.com/scl/fi/pnzk69helbrmekoe8oco4/41220.pdf?rlkey=61r4561t5zjcm1wytrdgbc8je&amp;dl=0" xr:uid="{A82CECA2-8929-8048-BC9F-B6B027C173E2}"/>
    <hyperlink ref="A754" r:id="rId164" display="https://www.dropbox.com/scl/fi/i55omco6ntpccvtjhy2ku/41221.pdf?rlkey=9fv3z3oidsv0ikq1oty9bi13l&amp;dl=0" xr:uid="{EF69CAA3-53A5-B242-A0E8-3EB3E6B19639}"/>
    <hyperlink ref="A755" r:id="rId165" display="https://www.dropbox.com/scl/fi/kgmxswrft8385bu2p8p3k/41222.pdf?rlkey=jfzsbw0rj6g4st3toqyvrs98d&amp;dl=0" xr:uid="{8C716EEA-8DD5-6242-94B0-B571B80B0E17}"/>
    <hyperlink ref="A756" r:id="rId166" display="https://www.dropbox.com/scl/fi/qq8n0myg41axnttw3ohi0/41223.pdf?rlkey=rsf5c3ls739qcref8xwsman6w&amp;dl=0" xr:uid="{AC79FE8B-E366-C149-88B8-130BAEB69DA8}"/>
    <hyperlink ref="A757" r:id="rId167" display="https://www.dropbox.com/scl/fi/mwd0c4uphuneqj6kjjy5v/41224.pdf?rlkey=gf93az8e3esv4g222iwmsei35&amp;dl=0" xr:uid="{89AB9B1C-D44B-1845-9837-DA7A5FB69D4E}"/>
    <hyperlink ref="A758" r:id="rId168" display="https://www.dropbox.com/scl/fi/a9s8ozhezg9bnwwnw7lxg/41225.pdf?rlkey=em1swh69en14lbhqj7k70s81i&amp;dl=0" xr:uid="{E56E9B43-5B47-B24A-A060-014FDBA7B5C5}"/>
    <hyperlink ref="A763" r:id="rId169" display="https://www.dropbox.com/scl/fi/f8pillqw9q37fgqx0e34p/41230.pdf?rlkey=6q3bq1pq0pke4ybshwa0exuct&amp;dl=0" xr:uid="{84297DDB-5669-7045-B341-31F2CAD2B7E6}"/>
    <hyperlink ref="A768" r:id="rId170" display="https://www.dropbox.com/scl/fi/8a0znwpic4n0728vvrsvp/41237.pdf?rlkey=odlu4gsaqdpedpy4ag4nooy6b&amp;dl=0" xr:uid="{8F66DA1A-9AED-2244-9F15-F0655A70B220}"/>
    <hyperlink ref="A773" r:id="rId171" display="https://www.dropbox.com/scl/fi/fpx1zv4hhufcfgsowbobf/41249.pdf?rlkey=9545074bowk12rjr8dfrj6eqd&amp;dl=0" xr:uid="{98EEE2CF-49F9-4D4D-A3E5-3602C36F43C3}"/>
    <hyperlink ref="A775" r:id="rId172" display="https://www.dropbox.com/scl/fi/uzhqhp392r7z4b814attl/41251.pdf?rlkey=5qvls4iwtp30hns5rw2yn9nja&amp;dl=0" xr:uid="{98FDED31-FE35-D041-9E96-9C82AF7E717D}"/>
    <hyperlink ref="A776" r:id="rId173" display="https://www.dropbox.com/scl/fi/4bzucxy333nzfx3fd5unm/41268.pdf?rlkey=bvh6ioj38ekitb7wwtosiq6wa&amp;dl=0" xr:uid="{9ACD4FB7-2DD3-1E47-8A26-EBDAA34F96E2}"/>
    <hyperlink ref="A785" r:id="rId174" display="https://www.dropbox.com/scl/fi/21bgidb51cl28hninz9nl/41290.pdf?rlkey=lsvo6oyfuf5mrsimkygddwsp7&amp;dl=0" xr:uid="{F27ADE9B-A48C-634B-BA14-751F53EAAF1F}"/>
    <hyperlink ref="A787" r:id="rId175" display="https://www.dropbox.com/scl/fi/txz868yzeo3llx50g3cxc/41292.pdf?rlkey=59po6wl1h6ngx6gpimqeoztix&amp;dl=0" xr:uid="{ACAB501B-3DED-AF4D-B40C-4B455A87E697}"/>
    <hyperlink ref="A789" r:id="rId176" display="https://www.dropbox.com/scl/fi/p6xvflo9tshr8hm0goac0/41294.pdf?rlkey=48zy1l1u4sg1t6agslsbt46m9&amp;dl=0" xr:uid="{A74DD4E3-C032-2E4B-B210-95D9CEEAEF87}"/>
    <hyperlink ref="A790" r:id="rId177" display="https://www.dropbox.com/scl/fi/lxquqrdy8m6d78dg9p2dw/41295.pdf?rlkey=9chete6n63oir8pmje8hng7v9&amp;dl=0" xr:uid="{10F7D36A-A12B-F94A-9B29-0A6B09EF9DC3}"/>
    <hyperlink ref="A791" r:id="rId178" display="https://www.dropbox.com/scl/fi/t1sc0ikmy9a28y0lsqki1/41296.pdf?rlkey=xclt5xayat9ta3f3owm7qe3rs&amp;dl=0" xr:uid="{FD327130-3ACE-3D49-ACF6-7170E3D1B24C}"/>
    <hyperlink ref="A792" r:id="rId179" display="https://www.dropbox.com/scl/fi/jhgy36i3w9fsxfvghx55b/41297.pdf?rlkey=467qrqxhmlr6tzwhorq2n2up8&amp;dl=0" xr:uid="{4EC49A02-D1C8-EF42-8FE0-F69C5AFCF1BA}"/>
    <hyperlink ref="A793" r:id="rId180" display="https://www.dropbox.com/scl/fi/ea3zvprxoerzj6pqmdocs/41298.pdf?rlkey=ofzbg0h41tn7bsxqexkon1rt4&amp;dl=0" xr:uid="{53A8F1E1-3F6D-8E48-9437-83019182A4D6}"/>
    <hyperlink ref="A794" r:id="rId181" display="https://www.dropbox.com/scl/fi/2q4bprx6f1eyot7kgmay3/41299.pdf?rlkey=mjvft3z6orzzxtfgkfqlp0qs0&amp;dl=0" xr:uid="{64D4DAE7-E71D-8147-96A7-6F8D63D53396}"/>
    <hyperlink ref="A795" r:id="rId182" display="https://www.dropbox.com/scl/fi/pq67pcvwd5qagfpazquaj/41300.pdf?rlkey=84olwg97shcsv4wek14nktyrw&amp;dl=0" xr:uid="{7A20A6D4-7D4B-1043-A506-CD4401CCE6A8}"/>
    <hyperlink ref="A796" r:id="rId183" display="https://www.dropbox.com/scl/fi/q6pwff8iwfgvhl7wzufqe/41301.pdf?rlkey=1u9gxpgguewqewt1z0c83u3b3&amp;dl=0" xr:uid="{C472BBB9-EC3A-AF43-A48B-20EC110B2E5C}"/>
    <hyperlink ref="A797" r:id="rId184" display="https://www.dropbox.com/scl/fi/iiexki0zyn7fkcpz9ui4u/41302.pdf?rlkey=kanslmp0lhuxfvbvkyoap7q50&amp;dl=0" xr:uid="{875501A1-7E27-D149-967C-594619BBF1A4}"/>
    <hyperlink ref="A800" r:id="rId185" display="https://www.dropbox.com/scl/fi/it1w2o1xg3rhtwobrohrz/41306.pdf?rlkey=oj63vvwyh0nh96i2e6wkfwzke&amp;dl=0" xr:uid="{AF26F381-D300-434B-8539-09BBD3E62C03}"/>
    <hyperlink ref="A803" r:id="rId186" display="https://www.dropbox.com/scl/fi/h3qlwkemi7fd72papw3b3/41318.pdf?rlkey=m4i67r47k4guyyeb4fwpgkgyt&amp;dl=0" xr:uid="{2A66319A-E9B7-BE4F-8E27-DD7A7273DB05}"/>
    <hyperlink ref="A810" r:id="rId187" display="https://www.dropbox.com/scl/fi/4s8wn1fitiq6kxv0475ei/41334.pdf?rlkey=wubaabeabj3kbk3usfj93aqci&amp;dl=0" xr:uid="{364CC6EC-EA18-2940-B90E-D4F62C7FF8FA}"/>
    <hyperlink ref="A812" r:id="rId188" display="https://www.dropbox.com/scl/fi/qn440n6w808w9w74b1086/41338.pdf?rlkey=7230ncbou2w3b3v98f56x97zl&amp;dl=0" xr:uid="{9704827D-EF60-5249-8892-99518670E095}"/>
    <hyperlink ref="A813" r:id="rId189" display="https://www.dropbox.com/scl/fi/h76rxw5w1872my5xtuv6q/41339.pdf?rlkey=5gchnpj86mvov9bdsrwd9sbf7&amp;dl=0" xr:uid="{3CEDC7EB-C087-7545-856E-326012B0F0AB}"/>
    <hyperlink ref="A814" r:id="rId190" display="https://www.dropbox.com/scl/fi/ojwcvrhn2t1dmjgmjsdvc/41342.pdf?rlkey=b7ix76kufej3p222lf88ppxau&amp;dl=0" xr:uid="{CCA91E5F-060C-FE4D-A5D7-788489432824}"/>
    <hyperlink ref="A815" r:id="rId191" display="https://www.dropbox.com/scl/fi/45wxyq03zsa867cjht9vo/41343.pdf?rlkey=753ygre47ulxw039msrqf5hzm&amp;dl=0" xr:uid="{799FCB99-B458-5C4B-AB6E-BBA936B0E483}"/>
    <hyperlink ref="A816" r:id="rId192" display="https://www.dropbox.com/scl/fi/hsxemkiqd6eppi9lo6p3z/41345.pdf?rlkey=gzbtlwaikrskgzff0a8f1dw7o&amp;dl=0" xr:uid="{9788B0EA-EBA1-5E41-ADF3-45E0C4D4CB7E}"/>
    <hyperlink ref="A821" r:id="rId193" display="https://www.dropbox.com/scl/fi/616hdosxavw8wwgmxdou9/41366.pdf?rlkey=i0vl6cksl05euxmjxifpabk43&amp;dl=0" xr:uid="{2479FB24-D064-EE4A-B253-F22340D0E84B}"/>
    <hyperlink ref="A822" r:id="rId194" display="https://www.dropbox.com/scl/fi/6j7jyw1mudqmwur454088/41367.pdf?rlkey=bdqsqrwbhi78sitk4g5ianswa&amp;dl=0" xr:uid="{9BB341B2-DC32-0F41-B54F-E36108682B76}"/>
    <hyperlink ref="A3" r:id="rId195" display="../01 2025/Dog/39275.pdf" xr:uid="{CFCCF01C-24A8-1A42-ABB1-90A75EB86CCA}"/>
    <hyperlink ref="A4" r:id="rId196" display="../01 2025/Dog/39336.pdf" xr:uid="{3865F49E-4A12-8C47-AC82-B21518ADD8B9}"/>
    <hyperlink ref="A5" r:id="rId197" display="../01 2025/Dog/39409.pdf" xr:uid="{7A950CB2-4952-654B-91A8-BE202D891269}"/>
    <hyperlink ref="A6" r:id="rId198" display="../01 2025/Dog/39411.pdf" xr:uid="{69BC36DC-D48E-C84A-95C5-C6258716247B}"/>
    <hyperlink ref="A7" r:id="rId199" display="https://www.dropbox.com/scl/fi/tmqkx86ww96u4ju50ma4i/39412.pdf?rlkey=j9yvkmkou7vweftxh37a4l8br&amp;dl=0" xr:uid="{B1C4AFBB-CE05-044E-98A4-B6CF4853858F}"/>
    <hyperlink ref="A8" r:id="rId200" display="https://www.dropbox.com/scl/fi/54dkgdncroy0f2pasg8wu/39413.pdf?rlkey=st9f439defjmm7k6566dli0d2&amp;dl=0" xr:uid="{0C564A5B-BDEF-134C-9BDC-084369307DD0}"/>
    <hyperlink ref="A9" r:id="rId201" display="https://www.dropbox.com/scl/fi/i3k0oum1k5sr5um39ujhk/39414.pdf?rlkey=jsf339wn7hx7h2wvskimgrr0h&amp;dl=0" xr:uid="{BC72CABE-F8F5-A14C-A63C-48204D8C0994}"/>
    <hyperlink ref="A10" r:id="rId202" display="https://www.dropbox.com/scl/fi/6b3hgqas0u1wftlh89vfg/39415.pdf?rlkey=uxcuav87og9ctd2vcdhyisiva&amp;dl=0" xr:uid="{0FDFC6BD-BEA4-9540-89CA-7C5A114F145F}"/>
    <hyperlink ref="A11" r:id="rId203" display="https://www.dropbox.com/scl/fi/pnfvik3irjbmvklvs7cpn/39416.pdf?rlkey=41jc6kf7jni62pdt4d766hgq7&amp;dl=0" xr:uid="{8E6B9444-2CE5-2F4F-AEE7-D8315E603B97}"/>
    <hyperlink ref="A12" r:id="rId204" display="https://www.dropbox.com/scl/fi/ka3w5c1vkrkwhqt5f6j13/39421.pdf?rlkey=clvt7ftl6jk8h3p2n8xl7bk4p&amp;dl=0" xr:uid="{200383B4-CAF6-AB4D-84D8-D735F1BA36F0}"/>
    <hyperlink ref="A13" r:id="rId205" display="https://www.dropbox.com/scl/fi/qs1lnnvt8sbwe51rpalh7/39422.pdf?rlkey=9tr5z9u6jsbqvwxo53qyqdo1c&amp;dl=0" xr:uid="{7F729BD1-629A-494C-8412-B5AF3BF368D4}"/>
    <hyperlink ref="A14" r:id="rId206" display="https://www.dropbox.com/scl/fi/2o1lkdpt5tz4xq3a7r47r/39424.pdf?rlkey=hk5zx2rcyq8mrf177mswp3b2x&amp;dl=0" xr:uid="{90797C6C-D646-8040-AA91-7794620B551C}"/>
    <hyperlink ref="A15" r:id="rId207" display="https://www.dropbox.com/scl/fi/ajb1vyobjthjpxa6vwzuy/39425.pdf?rlkey=2k1mdnltwo3qaqytm8g8leouc&amp;dl=0" xr:uid="{E9C465A5-7FCA-5745-A4C4-66C3C76C4652}"/>
    <hyperlink ref="A16" r:id="rId208" display="https://www.dropbox.com/scl/fi/fdvfwy0p8be28s7sez3du/39426.pdf?rlkey=76oo86pwx7lolciqsnk3svug1&amp;dl=0" xr:uid="{4ED201DE-1DDC-0548-9FD1-CD94D2168063}"/>
    <hyperlink ref="A17" r:id="rId209" display="https://www.dropbox.com/scl/fi/7nmtgcyrh1uva6jbeqdrk/39427.pdf?rlkey=2wb7wnt375alfrf6eeva0etq7&amp;dl=0" xr:uid="{D9F060CF-9747-504D-A428-90A70BC28CCC}"/>
    <hyperlink ref="A18" r:id="rId210" display="https://www.dropbox.com/scl/fi/tzt6yvuz7hbueljta68e0/39428.pdf?rlkey=2sagshtnp4skln0bd55pyc2zx&amp;dl=0" xr:uid="{AF9BF150-7C10-A244-804A-E182E90AA75C}"/>
    <hyperlink ref="A19" r:id="rId211" display="https://www.dropbox.com/scl/fi/yazkk789umehhv1f1a7xr/39430.pdf?rlkey=0okjsx6su572pwm5eqbm4smqv&amp;dl=0" xr:uid="{86BC4AB3-9F5B-7241-BAA7-B82B6066177E}"/>
    <hyperlink ref="A20" r:id="rId212" display="https://www.dropbox.com/scl/fi/d4vtc8vyyulsvxwpg2l6u/39431.pdf?rlkey=d1m1gtepepzrq5a3ajx92ixld&amp;dl=0" xr:uid="{2D680588-C246-5C47-BE9D-9C2CAE8330C2}"/>
    <hyperlink ref="A21" r:id="rId213" display="https://www.dropbox.com/scl/fi/t85mv2bshwmm9ho9e1aqg/39432.pdf?rlkey=p9bg3kb5kxdnyata5ioejnd0o&amp;dl=0" xr:uid="{D7C59BF4-DBF9-D140-B8C4-F75D62EFA215}"/>
    <hyperlink ref="A22" r:id="rId214" display="https://www.dropbox.com/scl/fi/7sg8ooev4uf6gupar3pk5/39434.pdf?rlkey=jtclxlorrtbydf1y9kw09e3ll&amp;dl=0" xr:uid="{312A4E35-A622-2342-A37A-7E5948E61106}"/>
    <hyperlink ref="A23" r:id="rId215" display="https://www.dropbox.com/scl/fi/fb49f7k3t8gqmfpwlu0vb/39435.pdf?rlkey=3tmh29n4zhybe6uoswc8vf82o&amp;dl=0" xr:uid="{1DD72009-E4C3-6C40-9108-1D0837E853D0}"/>
    <hyperlink ref="A24" r:id="rId216" display="https://www.dropbox.com/scl/fi/o4ceaqb8jf8henn6rx4y2/39438.pdf?rlkey=vwxjl9uengcb2mf79rvn6noxn&amp;dl=0" xr:uid="{4BE6A2C2-BF7E-6F42-8371-A4C78A5F6B60}"/>
    <hyperlink ref="A25" r:id="rId217" display="https://www.dropbox.com/scl/fi/j8c7kv5xe0oyzgszvy3i9/39443.pdf?rlkey=5kmbdtchpn2seopvklvbvm12h&amp;dl=0" xr:uid="{9F39DB41-E518-3644-8D57-72E9097C3019}"/>
    <hyperlink ref="A26" r:id="rId218" display="https://www.dropbox.com/scl/fi/oy1xhgc6t4l9wixscyrgu/39444.pdf?rlkey=uq1yku99t6x1gagq68cb3wdvv&amp;dl=0" xr:uid="{3281EBED-0ED2-3D49-A27F-EBCE03DB7166}"/>
    <hyperlink ref="A27" r:id="rId219" display="https://www.dropbox.com/scl/fi/vxsv55or1vfyezqfiwkwp/39447.pdf?rlkey=jezkib0ntcqiosbvj67y14shu&amp;dl=0" xr:uid="{7996988D-A2FD-DF4A-9E54-01AA3988D2EC}"/>
    <hyperlink ref="A28" r:id="rId220" display="https://www.dropbox.com/scl/fi/t3de4y53bd14934zhwqec/39448.pdf?rlkey=saqrau6jyx2i4ftczi8mkw51y&amp;dl=0" xr:uid="{98F3D995-993F-F24F-80FB-F28AF4DED059}"/>
    <hyperlink ref="A29" r:id="rId221" display="https://www.dropbox.com/scl/fi/3o8xxmkdowzw57pvb491t/39449.pdf?rlkey=jmvemce6t1dph3vfi93nimab4&amp;dl=0" xr:uid="{4A8EEE2E-FF21-9341-A224-F6AB7D3CE0B8}"/>
    <hyperlink ref="A30" r:id="rId222" display="https://www.dropbox.com/scl/fi/rs5wlt2vbahyy3pb9wq85/39450.pdf?rlkey=iz5pm2nporgzqe8f1og6yghny&amp;dl=0" xr:uid="{287B4640-7090-7348-B04F-4D9E86FAA07F}"/>
    <hyperlink ref="A31" r:id="rId223" display="https://www.dropbox.com/scl/fi/n1pztn3bjbotnf7fejrk6/39453.pdf?rlkey=o0kwo5584e2sx3p2wot37mkx8&amp;dl=0" xr:uid="{07A63EE3-7CF9-EF47-940A-770E51B1D2EB}"/>
    <hyperlink ref="A32" r:id="rId224" display="https://www.dropbox.com/scl/fi/pgoxar64x3b1m3ehy0gp9/39454.pdf?rlkey=3u887mmnwm765qgcwfksvu517&amp;dl=0" xr:uid="{1B100195-90B5-784F-82A9-AA4755B82D00}"/>
    <hyperlink ref="A33" r:id="rId225" display="https://www.dropbox.com/scl/fi/paa9bzvgwdkqrqsqnw81w/39455.pdf?rlkey=x438lijgt0g72hbq01p82bb4d&amp;dl=0" xr:uid="{857198C0-3E72-D240-A3A0-61227B47F8F4}"/>
    <hyperlink ref="A34" r:id="rId226" display="https://www.dropbox.com/scl/fi/t414zgh7x4va2nh5lc9aw/39456.pdf?rlkey=h33ayptrv328d2k733y54mx8z&amp;dl=0" xr:uid="{302A3D35-7450-CA43-938E-2D0D6D9FA37E}"/>
    <hyperlink ref="A35" r:id="rId227" display="https://www.dropbox.com/scl/fi/56m04uu337n3998vz6dse/39457.pdf?rlkey=6ucuueifdqlc66t6nsd0vzd52&amp;dl=0" xr:uid="{B69FE047-8579-2A43-8399-00AB2F6C1D1B}"/>
    <hyperlink ref="A36" r:id="rId228" display="https://www.dropbox.com/scl/fi/p9h1qavdvf6elztn3k6h5/39458.pdf?rlkey=pmi9s9nph85x5oiinnevcdj2v&amp;dl=0" xr:uid="{F2C2971B-A87B-DA42-99A2-932B8C412F21}"/>
    <hyperlink ref="A37" r:id="rId229" display="https://www.dropbox.com/scl/fi/ogxnfomiidu9q0qhudrap/39459.pdf?rlkey=tn496pctqq1xwayhm45ftiblu&amp;dl=0" xr:uid="{18312286-45EF-8A4F-A4FD-9C0B3396B366}"/>
    <hyperlink ref="A38" r:id="rId230" display="https://www.dropbox.com/scl/fi/krcl0321m2b4g2cgcf85j/39460.pdf?rlkey=g6u7p6wcnz40iq6r0rhw94t9q&amp;dl=0" xr:uid="{EF51431B-BABB-7E48-AEE0-63CD3BC32502}"/>
    <hyperlink ref="A39" r:id="rId231" display="https://www.dropbox.com/scl/fi/9nbof9bnfmr1zvdazl1oj/39462.pdf?rlkey=dr6egxgs5rp159epsu2zpocm0&amp;dl=0" xr:uid="{FA7EA391-5F6F-1D4E-AB10-FF66E54140D8}"/>
    <hyperlink ref="A40" r:id="rId232" display="https://www.dropbox.com/scl/fi/c40bzuqb0yit7yi7qf2gl/39463.pdf?rlkey=yy879kptzzxmc2vrlhh600idk&amp;dl=0" xr:uid="{EDF879D1-9FA1-034B-844C-2226ABCDD89D}"/>
    <hyperlink ref="A41" r:id="rId233" display="https://www.dropbox.com/scl/fi/6pfiwx5290kvpztwypepp/39464.pdf?rlkey=78gttdtbrkiq1s8m2ydxb02d1&amp;dl=0" xr:uid="{60F0E4A5-3526-BB44-9DBA-EC7542615317}"/>
    <hyperlink ref="A42" r:id="rId234" display="https://www.dropbox.com/scl/fi/0te5851f28g4e2540pkzo/39468.pdf?rlkey=nhocujcr1awubws2shi1gfbhr&amp;dl=0" xr:uid="{CBAD7188-F0E3-DE49-B7D7-68B42F3BD134}"/>
    <hyperlink ref="A43" r:id="rId235" display="https://www.dropbox.com/scl/fi/ce7t7o6xwuoxdv6ncle4i/39473.pdf?rlkey=ykb4f25sbif9foh7lugcfetqo&amp;dl=0" xr:uid="{4BD502C4-603B-3148-9A28-30542A280FF3}"/>
    <hyperlink ref="A44" r:id="rId236" display="https://www.dropbox.com/scl/fi/qeljxkeye6zwr6q1fmji1/39474.pdf?rlkey=l2fpjzx6fzdaa6h1xx6arkdik&amp;dl=0" xr:uid="{25597CC1-9DC8-D441-BA65-9F929E1575CF}"/>
    <hyperlink ref="A45" r:id="rId237" display="https://www.dropbox.com/scl/fi/ff6vsftemisez8c27rxte/39475.pdf?rlkey=4ayhte7kgupq40gr0823qdh3e&amp;dl=0" xr:uid="{115794C3-0EC0-574F-9D25-1E9F6274E75C}"/>
    <hyperlink ref="A46" r:id="rId238" display="https://www.dropbox.com/scl/fi/1w8zyn5h1qut5vmyik0uz/39477.pdf?rlkey=2pz4m8sq1kn0dzlwteuzb3hyh&amp;dl=0" xr:uid="{C160FA84-2B03-EE45-B093-6EC006E399F9}"/>
    <hyperlink ref="A47" r:id="rId239" display="https://www.dropbox.com/scl/fi/68omq9qo6hvbzfet4rfno/39478.pdf?rlkey=gz8oa54ecnef7hfpj4sdrl5ti&amp;dl=0" xr:uid="{A3A3E4A1-C962-B343-97A4-DC061F873BD2}"/>
    <hyperlink ref="A48" r:id="rId240" display="https://www.dropbox.com/scl/fi/iom7mlbg79xrd6yp9kpkn/39480.pdf?rlkey=igiye6jpim7paigjurf5g7b1a&amp;dl=0" xr:uid="{8CF16F63-BFE6-994A-B077-6AD52233FA2D}"/>
    <hyperlink ref="A49" r:id="rId241" display="https://www.dropbox.com/scl/fi/vqhwippitvjaatsp1vvil/39481.pdf?rlkey=apb0udduilxivef6af81rwj9q&amp;dl=0" xr:uid="{4822958B-8A9E-2C46-A2C0-930C6C77215B}"/>
    <hyperlink ref="A50" r:id="rId242" display="https://www.dropbox.com/scl/fi/anl5uxujpntp3m8164jcn/39485.pdf?rlkey=erxjat0m9zvpbz4y1cfmilijh&amp;dl=0" xr:uid="{76B7121C-0C66-154E-94B0-CB079F81FA17}"/>
    <hyperlink ref="A51" r:id="rId243" display="https://www.dropbox.com/scl/fi/stb51nng4kb2g29tkp264/39486.pdf?rlkey=1fizgtqq2clcl99otp4s64673&amp;dl=0" xr:uid="{ABA56294-F2C7-A142-98A8-15152C0B9249}"/>
    <hyperlink ref="A52" r:id="rId244" display="https://www.dropbox.com/scl/fi/fqiuwnqiz0qpobe4yoxkw/39487.pdf?rlkey=ig5xnvmpnx77wb4l05ti8jeo3&amp;dl=0" xr:uid="{61CB1065-644A-F043-8EF5-BEEE2694091E}"/>
    <hyperlink ref="A53" r:id="rId245" display="https://www.dropbox.com/scl/fi/j9plrobeizcisde0gscqo/39488.pdf?rlkey=h4xxj2q9xb600j3w2ek7lk8pz&amp;dl=0" xr:uid="{34456EFD-1EAF-3349-AA92-FC2EA2C39E01}"/>
    <hyperlink ref="A54" r:id="rId246" display="https://www.dropbox.com/scl/fi/s1fs38kh2zaeodmj078dx/39489.pdf?rlkey=pvbuoqb3krv9mncyccb2ra2xh&amp;dl=0" xr:uid="{DE77A18C-ED6A-F748-B558-92D062704F56}"/>
    <hyperlink ref="A55" r:id="rId247" display="https://www.dropbox.com/scl/fi/qltzwnocwept1s04lcogp/39490.pdf?rlkey=ged6f1oluo5y8c2t4meivw2yy&amp;dl=0" xr:uid="{79594870-E087-E04E-A75B-EB945F21F700}"/>
    <hyperlink ref="A56" r:id="rId248" display="https://www.dropbox.com/scl/fi/hejxb0elynt1aqbz3t7g2/39491.pdf?rlkey=ikx2jdwrfz77xuyn9up709aw3&amp;dl=0" xr:uid="{19D11E37-8234-DF4F-A1D0-2240F78B5D3A}"/>
    <hyperlink ref="A57" r:id="rId249" display="https://www.dropbox.com/scl/fi/s0vz8sw5v0g7zyj4calrs/39492.pdf?rlkey=azbchp3898iaffnnyhkb4p2ef&amp;dl=0" xr:uid="{F1957371-A429-354C-A919-3198B59A5FD8}"/>
    <hyperlink ref="A58" r:id="rId250" display="https://www.dropbox.com/scl/fi/ikf8ahb44o4cv9hod95ve/39493.pdf?rlkey=rsyaf53abaai8iu1ifh1gdgxp&amp;dl=0" xr:uid="{35BB26A2-F73B-1D44-B811-C289A7D1C9FB}"/>
    <hyperlink ref="A59" r:id="rId251" display="https://www.dropbox.com/scl/fi/n2k516jyrubywy8t2yjmt/39494.pdf?rlkey=pz8o1m10gxp85q6hgkwp1ebhz&amp;dl=0" xr:uid="{8B4CA04A-3DCF-6441-A3D8-E6EF90D85A92}"/>
    <hyperlink ref="A60" r:id="rId252" display="https://www.dropbox.com/scl/fi/b4842owc4v9f63p8o7ttf/39496.pdf?rlkey=xgmu8pjyg95mw6s4r1nyd8yx9&amp;dl=0" xr:uid="{46CA15B4-3F91-9F4A-AE9A-ADBA476418F1}"/>
    <hyperlink ref="A61" r:id="rId253" display="https://www.dropbox.com/scl/fi/20rr9z72kl9pcgin9wsf4/39497.pdf?rlkey=nc751vct1j36cepaf0sw5daci&amp;dl=0" xr:uid="{1535228A-6879-2D45-BEF0-46CE9D6CA65B}"/>
    <hyperlink ref="A62" r:id="rId254" display="https://www.dropbox.com/scl/fi/gh9yz9wjd0oevtxeijfut/39498.pdf?rlkey=djakd3qfdjd2830u3mw84g1up&amp;dl=0" xr:uid="{0D9EA8C2-CF7B-124A-A321-5011E4E269D5}"/>
    <hyperlink ref="A63" r:id="rId255" display="https://www.dropbox.com/scl/fi/xut2r5zt89io6m4dobsl4/39499.pdf?rlkey=df8afwvhxzjur5z4hljv1n4kt&amp;dl=0" xr:uid="{C0EF1596-3E7E-7D4C-B052-041D438F8D93}"/>
    <hyperlink ref="A64" r:id="rId256" display="https://www.dropbox.com/scl/fi/emt1fg6v49asem4wl3hnb/39500.pdf?rlkey=kimikhc1upwwrob8kzhodte5x&amp;dl=0" xr:uid="{0F7E155B-805B-4247-A18B-DCE009663A38}"/>
    <hyperlink ref="A65" r:id="rId257" display="https://www.dropbox.com/scl/fi/ldn11gtlwksia2bqoyes2/39501.pdf?rlkey=hhwu49zk3evcvrzy6xlbu4t1w&amp;dl=0" xr:uid="{09E3E8D6-78AA-C44F-9E6F-A5FC2204CA17}"/>
    <hyperlink ref="A66" r:id="rId258" display="https://www.dropbox.com/scl/fi/6e0g7seml2v0ktciculnu/39503.pdf?rlkey=6ea800h6i7e21ltbwuokdgceg&amp;dl=0" xr:uid="{C0FCEE52-52BA-A747-9824-DA9337B1A52B}"/>
    <hyperlink ref="A67" r:id="rId259" display="https://www.dropbox.com/scl/fi/7acx60mbmfqzjmcl7lhzo/39505.pdf?rlkey=v3thabkbw3j1asa7vzo5ogmw8&amp;dl=0" xr:uid="{28932DD5-B44E-A942-965B-B2032768991E}"/>
    <hyperlink ref="A68" r:id="rId260" display="https://www.dropbox.com/scl/fi/ad28cugk0afmbvh9aq041/39506.pdf?rlkey=9zf5e0umizd5fs9ks0qyvxjbt&amp;dl=0" xr:uid="{D63FE4A2-97B6-9241-923B-41A26D770CB2}"/>
    <hyperlink ref="A69" r:id="rId261" display="https://www.dropbox.com/scl/fi/wz9a6cpa28iqywysn6iub/39507.pdf?rlkey=ym4y1djijhyg0htcgflbuqrqg&amp;dl=0" xr:uid="{6D81AB1D-C210-7443-AD5C-43A399BE61FF}"/>
    <hyperlink ref="A70" r:id="rId262" display="https://www.dropbox.com/scl/fi/a2a8706i1j4vsdijcy8u4/39508.pdf?rlkey=uxgy0uszxzd1l5miibv1bmtoq&amp;dl=0" xr:uid="{FDAF6F5C-2307-AD4F-A840-0CFC999A7776}"/>
    <hyperlink ref="A71" r:id="rId263" display="https://www.dropbox.com/scl/fi/0jkoqggr8zgr13ekk5l7q/39510.pdf?rlkey=cqvf89x5w5xb15a5477b80dwj&amp;dl=0" xr:uid="{B33F06D4-AA03-D545-A922-DE736F05E1C0}"/>
    <hyperlink ref="A72" r:id="rId264" display="https://www.dropbox.com/scl/fi/pkj7vtce3rp7783b4f9i1/39512.pdf?rlkey=pyetlywd7yer9pmxcw0khzxw7&amp;dl=0" xr:uid="{0E55863B-7B2F-9C46-A327-467979E1FFDF}"/>
    <hyperlink ref="A73" r:id="rId265" display="https://www.dropbox.com/scl/fi/ba8p6ub2t3lp7ubjhyawh/39513.pdf?rlkey=feddxnf7yutmmuskd20vgsy2r&amp;dl=0" xr:uid="{AC7F2FE4-2882-CC4C-BDF9-32E71AE4CF0A}"/>
    <hyperlink ref="A74" r:id="rId266" display="https://www.dropbox.com/scl/fi/s8k01cb22e7eq855moafs/39514.pdf?rlkey=btq9z16yg8ox3bvcks7jsgn8h&amp;dl=0" xr:uid="{06324503-AD07-534F-8E78-2C9DDAC2C718}"/>
    <hyperlink ref="A75" r:id="rId267" display="https://www.dropbox.com/scl/fi/ku9ivdf2c172z0sqt9qvk/39515.pdf?rlkey=ela306qwmsx1647ce4m80k4qt&amp;dl=0" xr:uid="{63CF3E67-36F4-2943-835B-224C950267F5}"/>
    <hyperlink ref="A76" r:id="rId268" display="https://www.dropbox.com/scl/fi/xgcx7tx944iocnv4tel6v/39516.pdf?rlkey=etmosh0y5bdjpmdx58pkg8yas&amp;dl=0" xr:uid="{CC3FD2BF-158A-C645-B122-BC4798CC5D95}"/>
    <hyperlink ref="A77" r:id="rId269" display="https://www.dropbox.com/scl/fi/gh7kijdnsnrd91g4526e1/39517.pdf?rlkey=33g7gx4hi8dxj2uzajd4fhmk7&amp;dl=0" xr:uid="{F1AC412A-2EEE-8648-BE03-A7ED87474BE7}"/>
    <hyperlink ref="A78" r:id="rId270" display="https://www.dropbox.com/scl/fi/bbbuejv39vgzi3jg0emad/39518.pdf?rlkey=t2jpxs4wjxethlqe6g9lkcpca&amp;dl=0" xr:uid="{557642BC-5FD9-4A40-A9C2-C3287F4EC48B}"/>
    <hyperlink ref="A79" r:id="rId271" display="https://www.dropbox.com/scl/fi/nal6yxhjyod8q1dsxpz3f/39519.pdf?rlkey=15k3apyvzclkzxitnq3tuvtlw&amp;dl=0" xr:uid="{14E804DA-7BA1-914D-A8D6-2D554B47AF38}"/>
    <hyperlink ref="A80" r:id="rId272" display="https://www.dropbox.com/scl/fi/rbtd3czq427o82zi9q6an/39520.pdf?rlkey=khavebhg8iwalh6sk92uc472m&amp;dl=0" xr:uid="{88D41031-1146-094A-9616-373E340ED1FF}"/>
    <hyperlink ref="A81" r:id="rId273" display="https://www.dropbox.com/scl/fi/06av4ylmlrs5zyhlxmiv7/39523.pdf?rlkey=z6gyw2e70aqvmopybjppbyecr&amp;dl=0" xr:uid="{0622ACD3-606B-9B4E-9A28-A57F4BF4E498}"/>
    <hyperlink ref="A82" r:id="rId274" display="https://www.dropbox.com/scl/fi/7l0bjzwceisperqu85zql/39524.pdf?rlkey=njsfk8455lc5cydmo0tep5no1&amp;dl=0" xr:uid="{9508C950-A1B8-4547-B365-7DECD04B7CBE}"/>
    <hyperlink ref="A83" r:id="rId275" display="https://www.dropbox.com/scl/fi/j647jwh0tdsemee2zyazf/39533.pdf?rlkey=ycy8fkmafwyi5z87cr5ozeoun&amp;dl=0" xr:uid="{C7BACCC6-BA5D-604A-BDDD-A2C819D5A6D4}"/>
    <hyperlink ref="A84" r:id="rId276" display="https://www.dropbox.com/scl/fi/vfjn4fa4z5ixlubf7c8bj/39534.pdf?rlkey=adoqrkkfdmvx52yuu9f4cr1vu&amp;dl=0" xr:uid="{C32C43B9-3F54-0840-B0C2-81B51C7D4AA6}"/>
    <hyperlink ref="A85" r:id="rId277" display="https://www.dropbox.com/scl/fi/sq3nfdguivjlr09lrtqaf/39535.pdf?rlkey=7ahitr2az9dokqqv9uj5staao&amp;dl=0" xr:uid="{C9D80386-6578-E84E-A0A6-EE984A5936C4}"/>
    <hyperlink ref="A86" r:id="rId278" display="https://www.dropbox.com/scl/fi/eaa7ops1pvdj1vcfhdgzm/39537.pdf?rlkey=0ixanesxhse0u3hmdnqjoc6pn&amp;dl=0" xr:uid="{FDF0BD5E-832B-5640-B115-3CEF46C6E5B7}"/>
    <hyperlink ref="A87" r:id="rId279" display="https://www.dropbox.com/scl/fi/6fmigkpnbewx0ck6v2w0r/39540.pdf?rlkey=f8i9fd90i5ij54q6skzybebho&amp;dl=0" xr:uid="{7DF1716C-AB6E-4348-A3B4-CE12A4288ACC}"/>
    <hyperlink ref="A88" r:id="rId280" display="https://www.dropbox.com/scl/fi/39sjm4slnxqg1jlpzcwta/39541.pdf?rlkey=ges33d1i1qsmsr2o9aztnwgti&amp;dl=0" xr:uid="{0CC163C4-E546-ED4D-AD4B-B3003ED51F7D}"/>
    <hyperlink ref="A89" r:id="rId281" display="https://www.dropbox.com/scl/fi/z2kb771gf80iuic91bqe7/39542.pdf?rlkey=5xs5cljce5htqu026p0bkzwi9&amp;dl=0" xr:uid="{38A9981C-D5E6-9B46-9178-A7E80092D0BA}"/>
    <hyperlink ref="A90" r:id="rId282" display="https://www.dropbox.com/scl/fi/6xad9l96ngkw9qe0y9tf6/39543.pdf?rlkey=e55vuivzqxehi07k6zt54kncs&amp;dl=0" xr:uid="{E4CC0C24-68EF-474B-B074-FF55E57BD6B5}"/>
    <hyperlink ref="A91" r:id="rId283" display="https://www.dropbox.com/scl/fi/ekerbwj78nobjp08p3sa7/39544.pdf?rlkey=kuk8ujf1gh8wz7iageuq4plzn&amp;dl=0" xr:uid="{A3A1478F-B981-B047-BC87-84DEBFAA1441}"/>
    <hyperlink ref="A92" r:id="rId284" display="https://www.dropbox.com/scl/fi/odudacd7347uf375i37xi/39545.pdf?rlkey=t6tyt4u5j3d624lpflpseew7n&amp;dl=0" xr:uid="{85027FE0-491C-A544-A8FF-0CA8758317AF}"/>
    <hyperlink ref="A93" r:id="rId285" display="https://www.dropbox.com/scl/fi/b7mzac5h8rpv3d32cfodj/39546.pdf?rlkey=qxleb6bk4lvkwe3u9i6jpih8m&amp;dl=0" xr:uid="{0BCB9104-ACBB-DA4E-8F6B-142091736E61}"/>
    <hyperlink ref="A94" r:id="rId286" display="https://www.dropbox.com/scl/fi/yt0q0bnn5ilse4dj3nh2n/39547.pdf?rlkey=8z9fdkblg4sl3zvf8ofoc7wvd&amp;dl=0" xr:uid="{81FF2489-F96C-1C4A-9D19-4276CBAB3963}"/>
    <hyperlink ref="A95" r:id="rId287" display="https://www.dropbox.com/scl/fi/tagb67brxwmdfyhttslqj/39548.pdf?rlkey=sgrrslg79lxtw2fodfqdrzhz5&amp;dl=0" xr:uid="{51928FAA-B7EA-064B-B54D-52EB5CAFCCFB}"/>
    <hyperlink ref="A96" r:id="rId288" display="https://www.dropbox.com/scl/fi/gdes6uyh8d5kc2riso81i/39549.pdf?rlkey=alq5ujsjj065e1o8t69xga1bz&amp;dl=0" xr:uid="{90E0E7A5-7746-7E49-888D-C542E93F295D}"/>
    <hyperlink ref="A97" r:id="rId289" display="https://www.dropbox.com/scl/fi/hmc3kpu2f9a93icvwbm32/39550.pdf?rlkey=miny8jufu6hlisbvjqn2qcuyx&amp;dl=0" xr:uid="{8818A443-E96F-CC4D-ACC3-499184AF9973}"/>
    <hyperlink ref="A98" r:id="rId290" display="https://www.dropbox.com/scl/fi/bfc0mcsbzd42i2oa3ssqi/39551.pdf?rlkey=o2smogb9awhop3gdl3i5r32f1&amp;dl=0" xr:uid="{B1D5F4F6-3693-1941-9C25-9B73C29E35DE}"/>
    <hyperlink ref="A99" r:id="rId291" display="https://www.dropbox.com/scl/fi/qcuoqil0st2kp88k2u2dv/39552.pdf?rlkey=9owvr77dvbau93ll51qduruzb&amp;dl=0" xr:uid="{FBBB9450-4C48-794D-9578-EEA8F6D834A8}"/>
    <hyperlink ref="A100" r:id="rId292" display="https://www.dropbox.com/scl/fi/19wbx59m7ayugjtch2opy/39553.pdf?rlkey=bsfu7i3ol0h2w0np21pzreaqc&amp;dl=0" xr:uid="{8E44E4C2-A372-0946-A261-075E7AC24E55}"/>
    <hyperlink ref="A101" r:id="rId293" display="https://www.dropbox.com/scl/fi/5xo0rh8dj0axpne1m9bsa/39554.pdf?rlkey=rpnfy1pdjndp7ax733e7p69vu&amp;dl=0" xr:uid="{15183999-893D-CD4D-B1F4-26945F7CCFD2}"/>
    <hyperlink ref="A102" r:id="rId294" display="https://www.dropbox.com/scl/fi/mk5b9bf6oiwlzmzbvkibq/39555.pdf?rlkey=ub0lzrrrsoc54rsvstu4bffe9&amp;dl=0" xr:uid="{A4FB39A8-1E78-FF4F-A3C4-D5E3F60FA57D}"/>
    <hyperlink ref="A103" r:id="rId295" display="https://www.dropbox.com/scl/fi/ijf8pl9q2srlgmw15pmpb/39557.pdf?rlkey=1n20z9m7jg54x1cshsnxpt5i0&amp;dl=0" xr:uid="{C9921094-3191-8749-B7EC-2D7498052C9A}"/>
    <hyperlink ref="A104" r:id="rId296" display="https://www.dropbox.com/scl/fi/kluuumwttd9eok6en50fm/39558.pdf?rlkey=yprj4azxcpywdngj82fyiru9e&amp;dl=0" xr:uid="{DBE4DC4D-629F-1343-A514-6B57820DE1E2}"/>
    <hyperlink ref="A105" r:id="rId297" display="https://www.dropbox.com/scl/fi/ym0hmsoy9depdg8xp4jf0/39560.pdf?rlkey=vpkhl28b76vwn1qv0y2764739&amp;dl=0" xr:uid="{269D1E79-090F-1945-81E3-66286E36996F}"/>
    <hyperlink ref="A106" r:id="rId298" display="https://www.dropbox.com/scl/fi/v0d9965l2x14cqebg49bb/39561.pdf?rlkey=rzzz4us15wmu4kv3plizp0914&amp;dl=0" xr:uid="{9984C16A-3BDE-2A49-A09C-6A24CEB5F414}"/>
    <hyperlink ref="A107" r:id="rId299" display="https://www.dropbox.com/scl/fi/ali9366jkqwx1liwo6ojm/39562.pdf?rlkey=c5tw6xg8jsb0dt07682i20r2s&amp;dl=0" xr:uid="{68008187-2E73-5C4F-A1C9-94665AA7AB99}"/>
    <hyperlink ref="A108" r:id="rId300" display="https://www.dropbox.com/scl/fi/65qs6ofj8k9ln83cblr0e/39563.pdf?rlkey=sfbf53dkqoy9kyvm6jajcbw8n&amp;dl=0" xr:uid="{090F2798-DEB0-1349-B736-FEA3DA4281B7}"/>
    <hyperlink ref="A109" r:id="rId301" display="https://www.dropbox.com/scl/fi/4cd02y4k9kkgmsfd4r0zg/39567.pdf?rlkey=ya2ii5xg190lj4okt5bvahyx2&amp;dl=0" xr:uid="{276A5775-935E-5445-8481-B76ACA32C861}"/>
    <hyperlink ref="A110" r:id="rId302" display="https://www.dropbox.com/scl/fi/928jz792rv8dgirhyfkwd/39568.pdf?rlkey=dzqftidrh36mn3k29api4wvt6&amp;dl=0" xr:uid="{AB5D0C35-A579-BD4C-BD77-21A9B201436A}"/>
    <hyperlink ref="A111" r:id="rId303" display="https://www.dropbox.com/scl/fi/kesgdiec0kvlpz8vchr6i/39569.pdf?rlkey=syp78iq27olfrfhlam2y6axho&amp;dl=0" xr:uid="{74766E49-0951-9F4D-99BD-5085EBAD0508}"/>
    <hyperlink ref="A112" r:id="rId304" display="https://www.dropbox.com/scl/fi/nb0yu9fktn3qn3zsmjowf/39570.pdf?rlkey=tt0tsyv9hfk6qnfo1slt30fca&amp;dl=0" xr:uid="{A8D3696E-6755-6C44-B62E-3B2B720EB3B0}"/>
    <hyperlink ref="A113" r:id="rId305" display="https://www.dropbox.com/scl/fi/2hkx77eak8f3q37dqsd88/39571.pdf?rlkey=8oq7i3ecf6ln6cornqhuu5mpc&amp;dl=0" xr:uid="{DE1189CC-9DD2-8F48-8049-5907764D7E88}"/>
    <hyperlink ref="A114" r:id="rId306" display="https://www.dropbox.com/scl/fi/l570oeps0v1nq25taj7gn/39572.pdf?rlkey=bqlfrlcdxa8ase97wjqud04k5&amp;dl=0" xr:uid="{923A471A-6852-F349-9F20-DA4DDBCEA013}"/>
    <hyperlink ref="A115" r:id="rId307" display="https://www.dropbox.com/scl/fi/fcsllsupj7mfez8l3mnzu/39573.pdf?rlkey=453flq03zad08jvlolnmhpaqp&amp;dl=0" xr:uid="{CE1ED712-6B98-ED41-8870-812C2872761D}"/>
    <hyperlink ref="A116" r:id="rId308" display="https://www.dropbox.com/scl/fi/tjoeg00d7r5oc5imwadl1/39574.pdf?rlkey=y7kce8fkvotkgctdk9p2rn5jc&amp;dl=0" xr:uid="{23ABD9E9-900D-194F-B0F4-4BB625D204E6}"/>
    <hyperlink ref="A117" r:id="rId309" display="https://www.dropbox.com/scl/fi/0mbua69myqz5jh77solqd/39576.pdf?rlkey=vj08chq4dn1n3wnytcm16e77v&amp;dl=0" xr:uid="{ED80CAE7-21ED-4643-8B3F-B524F0910F20}"/>
    <hyperlink ref="A118" r:id="rId310" display="https://www.dropbox.com/scl/fi/cf3sxrrgh34r7qy94y4rc/39578.pdf?rlkey=ngcv9rre1b6tumvuoo2m9v1m2&amp;dl=0" xr:uid="{797A9973-2DBD-3744-8289-FE188BC726DD}"/>
    <hyperlink ref="A119" r:id="rId311" display="https://www.dropbox.com/scl/fi/s2ru3zhg6dpx5n8vv16ns/39579.pdf?rlkey=tnq7hr3g4454urxcg8n25yz07&amp;dl=0" xr:uid="{981CC167-12BC-114E-B99E-5A05DA890F90}"/>
    <hyperlink ref="A120" r:id="rId312" display="https://www.dropbox.com/scl/fi/eqm01pfwpu4z71r9lfmln/39580.pdf?rlkey=cvs8quh8wuvonxq26z7ynkuet&amp;dl=0" xr:uid="{627F3B1C-96A4-9849-B934-F7A5D46489E3}"/>
    <hyperlink ref="A121" r:id="rId313" display="https://www.dropbox.com/scl/fi/h03b0y384n8k3zpgealcc/39581.pdf?rlkey=cc2xhxw479mw0h2kt35q43137&amp;dl=0" xr:uid="{33CC3348-F716-8F4B-BE0D-2997D975F873}"/>
    <hyperlink ref="A122" r:id="rId314" display="https://www.dropbox.com/scl/fi/xf5vfqqgpbjk73p889p17/39582.pdf?rlkey=0dvn025jzsl5bd17058jzjnv0&amp;dl=0" xr:uid="{E04274B0-B8ED-3445-AC0F-5B22FE51BC19}"/>
    <hyperlink ref="A123" r:id="rId315" display="https://www.dropbox.com/scl/fi/tjr5cd8bs6j8er2pnsw4c/39583.pdf?rlkey=iq5k1q533mjyvghrtsd8ta3vz&amp;dl=0" xr:uid="{6962842F-F6AF-3645-9C0F-A7D056994CCE}"/>
    <hyperlink ref="A124" r:id="rId316" display="https://www.dropbox.com/scl/fi/f0zg2hvj7tmvani1idckf/39586.pdf?rlkey=01qlwvkl2iltix7avigq7cplv&amp;dl=0" xr:uid="{C57E6D2B-8FE0-5448-9D5C-35704AE6E228}"/>
    <hyperlink ref="A125" r:id="rId317" display="https://www.dropbox.com/scl/fi/jtsgh0v2oqj1pjelo5771/39587.pdf?rlkey=6op0xash1am4kqpzxb42buujn&amp;dl=0" xr:uid="{1E23FBED-27D5-EE41-B2A8-14C57374BE35}"/>
    <hyperlink ref="A126" r:id="rId318" display="https://www.dropbox.com/scl/fi/ysx0hyyx4rmkw9m53fobi/39588.pdf?rlkey=2gu0z60doodv1ch3mpeg9gwxl&amp;dl=0" xr:uid="{5F746A48-87B4-334D-97FB-8511D23DAF88}"/>
    <hyperlink ref="A127" r:id="rId319" display="https://www.dropbox.com/scl/fi/ons1j3jmx0nst17lbdmaz/39589.pdf?rlkey=tj4fes1ubxdbnxa1qz0tbjr23&amp;dl=0" xr:uid="{8B45E568-CD36-574E-89F5-F331E89C126F}"/>
    <hyperlink ref="A128" r:id="rId320" display="https://www.dropbox.com/scl/fi/hnrx1fa0bpjv4nbueoalb/39590.pdf?rlkey=jb5wqx8b6qf5x9k2j3u8a9ien&amp;dl=0" xr:uid="{29ED4223-EE53-4443-A27E-260A78A8F5EC}"/>
    <hyperlink ref="A129" r:id="rId321" display="https://www.dropbox.com/scl/fi/dqodkpk226n0wib3na5bb/39598.pdf?rlkey=lhrs8wdymljwcmcb2svb5jy3o&amp;dl=0" xr:uid="{00C6F173-C56B-A94A-8CD1-0FADEEE0D97D}"/>
    <hyperlink ref="A130" r:id="rId322" display="https://www.dropbox.com/scl/fi/62of5nekk4a1ifppbgbzr/39599.pdf?rlkey=hf1ic8yoa1xg20p11elj73x0q&amp;dl=0" xr:uid="{D4630273-C319-C04F-BEAA-635C1242FB72}"/>
    <hyperlink ref="A131" r:id="rId323" display="https://www.dropbox.com/scl/fi/l4mlzt7cwzqugnxp9vwl8/39600.pdf?rlkey=quzcvzynve1yo47gytc8fi2ea&amp;dl=0" xr:uid="{E51E6E6E-6E9B-7643-B673-324E419E1DCE}"/>
    <hyperlink ref="A132" r:id="rId324" display="https://www.dropbox.com/scl/fi/qtt2m26v4oxv4qbhpler6/39601.pdf?rlkey=h7ahrgjdhsn10id1jc3nnb12v&amp;dl=0" xr:uid="{CEB19E16-251F-FF4C-A7F0-2133597CE8E2}"/>
    <hyperlink ref="A133" r:id="rId325" display="https://www.dropbox.com/scl/fi/mmj426jlzdzr9enjwz7mr/39603.pdf?rlkey=qm3u7v8wcqbio7ybc3uzymwpi&amp;dl=0" xr:uid="{7D117AA5-8356-DE4F-94F1-3711DC6F605F}"/>
    <hyperlink ref="A134" r:id="rId326" display="https://www.dropbox.com/scl/fi/w6r6k8o0p41lhtei3d5a5/39604.pdf?rlkey=6ddpsy05nw5n6a6b94u10ll2k&amp;dl=0" xr:uid="{5CCDEA11-31C6-7B41-880C-3BB6F0BA0480}"/>
    <hyperlink ref="A135" r:id="rId327" display="https://www.dropbox.com/scl/fi/lzn1616n1sf1m9cfeq66g/39605.pdf?rlkey=63s35rvxhy4nwzulficmxkzia&amp;dl=0" xr:uid="{5AA526DC-8839-8D44-A372-CB2817F61FD5}"/>
    <hyperlink ref="A136" r:id="rId328" display="https://www.dropbox.com/scl/fi/43a8vzyg5u2g9vcmeit1h/39606.pdf?rlkey=kav9g208ox1vt0x6aelk2sl7a&amp;dl=0" xr:uid="{84C76F06-6571-EE4A-B1D8-A032CBB373C9}"/>
    <hyperlink ref="A137" r:id="rId329" display="https://www.dropbox.com/scl/fi/jj6tqbobfvnztk3rpaa68/39619.pdf?rlkey=aadqq6xqxtu8b124icw8vsw2i&amp;dl=0" xr:uid="{C1D40603-0F37-D049-A27E-622E1E47CCEB}"/>
    <hyperlink ref="A138" r:id="rId330" display="https://www.dropbox.com/scl/fi/gjkdu1zcxi90i4b3y81d9/39621.pdf?rlkey=8fhu2mo3tvhijp4i7f6cz512u&amp;dl=0" xr:uid="{126697C9-01CA-494C-8E16-D65FD23F417A}"/>
    <hyperlink ref="A139" r:id="rId331" display="https://www.dropbox.com/scl/fi/9fto201y9d5smvqq16m9g/39624.pdf?rlkey=zdhv0j9g2cgjcjbid1o11hp3s&amp;dl=0" xr:uid="{65DBA57F-CB1F-284C-A3BC-F2A4D103CE26}"/>
    <hyperlink ref="A140" r:id="rId332" display="https://www.dropbox.com/scl/fi/tzs41bodumqq3mhik3jom/39625.pdf?rlkey=66m982eqqmdqocup9rc1y5wna&amp;dl=0" xr:uid="{E68F0F46-D4FF-D549-B02C-22DFEC5E89C0}"/>
    <hyperlink ref="A141" r:id="rId333" display="https://www.dropbox.com/scl/fi/tlwg3hlqxcrvno7ue9oaw/39626.pdf?rlkey=phcowpo54qjzpcl8sxc9pvaf8&amp;dl=0" xr:uid="{A2C31F1B-EDA6-8843-9BF1-49367073A3B5}"/>
    <hyperlink ref="A142" r:id="rId334" display="https://www.dropbox.com/scl/fi/pgvu7r04hmtqkubpt6hof/39637.pdf?rlkey=dos3of78m7yne4mxt6wdzwyht&amp;dl=0" xr:uid="{3BAD3324-77FD-FF40-A8DF-9DA5F98C2076}"/>
    <hyperlink ref="A143" r:id="rId335" display="https://www.dropbox.com/scl/fi/95ftgn183wp0rqt1w27kr/39638.pdf?rlkey=8ly0prsrersrfvmxn1upgidg9&amp;dl=0" xr:uid="{A49CA6D8-CA40-B248-B6AE-2EDAE366B103}"/>
    <hyperlink ref="A144" r:id="rId336" display="https://www.dropbox.com/scl/fi/qhjwpvdp0tdug01o1hbdk/39639.pdf?rlkey=855yowskmp67gr5cwi1ltbslp&amp;dl=0" xr:uid="{9292EB58-D7E7-8D49-A73C-961A165DBEA8}"/>
    <hyperlink ref="A145" r:id="rId337" display="https://www.dropbox.com/scl/fi/hj2fiba9nxmcfkufjmsur/39640.pdf?rlkey=0p9t5hdrr5m3eeite0a2q4voo&amp;dl=0" xr:uid="{7C011D40-51F2-134C-9799-2FC31E6DCC6D}"/>
    <hyperlink ref="A146" r:id="rId338" display="https://www.dropbox.com/scl/fi/hemjyw0qks90is07vd7mg/39641.pdf?rlkey=c87mdl5jusepci7nmgzdd3ca1&amp;dl=0" xr:uid="{4C9FEEE2-788D-CF41-9D36-569C6605200E}"/>
    <hyperlink ref="A147" r:id="rId339" display="https://www.dropbox.com/scl/fi/qtdumnwgbfvqamkd36kg3/39642.pdf?rlkey=trea7c8kf758lxxnp2g8p0s8n&amp;dl=0" xr:uid="{3324DE51-3A8A-F647-90CA-547DC9FAFF90}"/>
    <hyperlink ref="A148" r:id="rId340" display="https://www.dropbox.com/scl/fi/ubg9v02jkgxh3oynjqcbq/39643.pdf?rlkey=kckknovwf9chjmktf4ipf24xm&amp;dl=0" xr:uid="{1995B22D-F193-934D-A82F-E9010FBE86CE}"/>
    <hyperlink ref="A149" r:id="rId341" display="https://www.dropbox.com/scl/fi/lxp3ujtldk9z9uce8hhaq/39644.pdf?rlkey=sst8eih965c64olqq7jqviq3i&amp;dl=0" xr:uid="{4F71ADEF-41D3-864C-BB3A-66AB4C255993}"/>
    <hyperlink ref="A150" r:id="rId342" display="https://www.dropbox.com/scl/fi/0yfkdnhv4rzk930nrv6ph/39645.pdf?rlkey=xtkhxgf0vjc891lgxqjjffbu8&amp;dl=0" xr:uid="{B531122C-F869-B345-8282-57BDB8D54DCB}"/>
    <hyperlink ref="A151" r:id="rId343" display="https://www.dropbox.com/scl/fi/ifztpi4l23ta17td6pa9m/39646.pdf?rlkey=6gi2kgll9o76zu49wrytlb8bv&amp;dl=0" xr:uid="{3CDE0869-3A2C-334C-8BBD-86865BBDF55E}"/>
    <hyperlink ref="A152" r:id="rId344" display="https://www.dropbox.com/scl/fi/bxxvwlzczpdj17y34jxak/39649.pdf?rlkey=9krwef13ndpdkn3t74zenn7zf&amp;dl=0" xr:uid="{1F08EF3D-B5BA-8046-A5A8-526A74CB8397}"/>
    <hyperlink ref="A153" r:id="rId345" display="https://www.dropbox.com/scl/fi/5uh2j4juf9qirra1ix6ow/39652.pdf?rlkey=jhugfndoujy9ppfif1jdo3e3p&amp;dl=0" xr:uid="{74CF600B-8245-6342-850A-52BC4A258B6A}"/>
    <hyperlink ref="A154" r:id="rId346" display="https://www.dropbox.com/scl/fi/ixlkklusn3qmrh58pffbq/39653.pdf?rlkey=4npfd9yl21r28ej2z6cgv719w&amp;dl=0" xr:uid="{E264ABD7-CF91-324E-8C1D-C618097118B4}"/>
    <hyperlink ref="A155" r:id="rId347" display="https://www.dropbox.com/scl/fi/65agilzwoo45ohzwp69su/39654.pdf?rlkey=8mw8q40ceof6pf4jx4be0xyvd&amp;dl=0" xr:uid="{467CD0A7-0A4D-AD4A-8273-40A426B8DD24}"/>
    <hyperlink ref="A156" r:id="rId348" display="https://www.dropbox.com/scl/fi/9ta41lkwzx6xpte3f0g8c/39655.pdf?rlkey=l2bbl8u255kdq38m7cmfpiovp&amp;dl=0" xr:uid="{ABE4ED18-0C01-B247-A0A6-165CDBDA1BF6}"/>
    <hyperlink ref="A157" r:id="rId349" display="https://www.dropbox.com/scl/fi/al9yg37uw7tg3pgec2nh1/39657.pdf?rlkey=wzcrv4uywzo9df5p9t2lmb3ek&amp;dl=0" xr:uid="{7BD972D2-F889-7442-A3BD-354874FBDAD4}"/>
    <hyperlink ref="A158" r:id="rId350" display="https://www.dropbox.com/scl/fi/4zfe5ejs2amt4cf7spc82/39660.pdf?rlkey=vcn04ru1kj78o9ik7rfkjz7a4&amp;dl=0" xr:uid="{059CCF23-8345-4D4B-A936-09515754C7F6}"/>
    <hyperlink ref="A159" r:id="rId351" display="https://www.dropbox.com/scl/fi/4ho5zmlbpja05qzhfaqxo/39663.pdf?rlkey=t2modazi473emhbypl1i2x4jn&amp;dl=0" xr:uid="{89F8A921-DEE7-8C49-AADE-CB505A4E4B4F}"/>
    <hyperlink ref="A160" r:id="rId352" display="https://www.dropbox.com/scl/fi/0006foimqsa6zk9ym3rkh/39664.pdf?rlkey=uzarwrnpvb5ls197fuxqizz90&amp;dl=0" xr:uid="{CAD91B1D-DE89-5642-A626-CBBE626C5C7F}"/>
    <hyperlink ref="A161" r:id="rId353" display="https://www.dropbox.com/scl/fi/1cg9s814yl7o7dlf31qzh/39665.pdf?rlkey=ilr7c24853rsl0ekpdn5re8ky&amp;dl=0" xr:uid="{22478EC3-1BDA-A244-B2A2-A979199F6E1F}"/>
    <hyperlink ref="A162" r:id="rId354" display="https://www.dropbox.com/scl/fi/623yps2x24vletsa5x3ih/39666.pdf?rlkey=sags55celyywa23f10t9uk1d1&amp;dl=0" xr:uid="{CC5149CE-3031-BC45-9ECF-2CF6676EF3BD}"/>
    <hyperlink ref="A163" r:id="rId355" display="https://www.dropbox.com/scl/fi/vi3h1didxfynr7umgi1sy/39667.pdf?rlkey=1iko27ltwhycnx6elx706kzuv&amp;dl=0" xr:uid="{BE217788-3201-C94A-A711-335409A4D706}"/>
    <hyperlink ref="A164" r:id="rId356" display="https://www.dropbox.com/scl/fi/ic9cqk75x8xdf23e0qd55/39673.pdf?rlkey=ulse4mewde9d56biw78ny2hbu&amp;dl=0" xr:uid="{439551A2-BFE3-2142-8986-CB4787BAE68F}"/>
    <hyperlink ref="A165" r:id="rId357" display="https://www.dropbox.com/scl/fi/gychyxct7x3930fcuz8kn/39674.pdf?rlkey=2vehdijj6en8vl1zyf3m123qn&amp;dl=0" xr:uid="{A57E768B-7AAE-4143-9C9C-FC657FADB9CB}"/>
    <hyperlink ref="A166" r:id="rId358" display="https://www.dropbox.com/scl/fi/3x0potxp1dl0ywod9a0ak/39675.pdf?rlkey=4pxkud745jm11xbeu4doffugg&amp;dl=0" xr:uid="{C470421D-8A72-6245-BA41-46682A81E2F6}"/>
    <hyperlink ref="A167" r:id="rId359" display="https://www.dropbox.com/scl/fi/8tzuyo87px70z764pwd7m/39678.pdf?rlkey=up6y9q3gzsjgt6qfsajzkfxgo&amp;dl=0" xr:uid="{3C47186E-324F-0C4C-8580-69373CF69FDE}"/>
    <hyperlink ref="A168" r:id="rId360" display="https://www.dropbox.com/scl/fi/ivrtjzjdqo8b8j2jiyxqb/39679.pdf?rlkey=k69r8u5844al1oq6mnjl9uy4k&amp;dl=0" xr:uid="{88CBD174-E366-3E4E-860E-D7FC763AE188}"/>
    <hyperlink ref="A169" r:id="rId361" display="https://www.dropbox.com/scl/fi/y7sefgrc15ttlfmcgn0jv/39680.pdf?rlkey=fkz2rdr8xuxk492ok62b8v7bh&amp;dl=0" xr:uid="{FD48E687-4554-C64E-B981-39D35D85AFFC}"/>
    <hyperlink ref="A170" r:id="rId362" display="https://www.dropbox.com/scl/fi/9ha91fxzsaey9u33ed7dj/39681.pdf?rlkey=1qid2ttpcwjvhgg6uyqczjgnk&amp;dl=0" xr:uid="{38A51A01-8F62-704A-A285-B23DDEB62C28}"/>
    <hyperlink ref="A171" r:id="rId363" display="https://www.dropbox.com/scl/fi/42vbqys6pzo8jjum8g5sm/39682.pdf?rlkey=afl9kh9or0kmt7xz6dqqwr80w&amp;dl=0" xr:uid="{AD9872A7-A373-A04C-B50C-37CDEDD24306}"/>
    <hyperlink ref="A172" r:id="rId364" display="https://www.dropbox.com/scl/fi/net3pw0zo6qu6npouliy2/39683.pdf?rlkey=xy5bjqj0hv5ti48ivh9jpbc9e&amp;dl=0" xr:uid="{4D688E49-2F7F-F741-B303-52D2B657C08A}"/>
    <hyperlink ref="A173" r:id="rId365" display="https://www.dropbox.com/scl/fi/l9k1qtjn1oqy5z8wleecj/39684.pdf?rlkey=v3tcqwcz8ibw190ztvdnxcebn&amp;dl=0" xr:uid="{690D46BB-C695-5F42-A864-046522A1422E}"/>
    <hyperlink ref="A174" r:id="rId366" display="https://www.dropbox.com/scl/fi/ycbjrjblh0hqimpwi6bmm/39685.pdf?rlkey=mlv8q5f1v5kspoqe4ejqojh9h&amp;dl=0" xr:uid="{60A2415A-39AE-994E-A9D2-BCF583A2F01B}"/>
    <hyperlink ref="A175" r:id="rId367" display="https://www.dropbox.com/scl/fi/5iyan6q4xagaisjomdo9m/39686.pdf?rlkey=xoe6jusgeukdq4zg8sttmdh3b&amp;dl=0" xr:uid="{604BE724-5C5A-8C4E-ABCF-C3123595BC5C}"/>
    <hyperlink ref="A176" r:id="rId368" display="https://www.dropbox.com/scl/fi/32vtubeeswmqclh4yz8f2/39687.pdf?rlkey=zzfv8xj8kkdnrjfyzhoak7ign&amp;dl=0" xr:uid="{A2C12935-AD66-7245-A859-BF11137A12BC}"/>
    <hyperlink ref="A177" r:id="rId369" display="https://www.dropbox.com/scl/fi/rmn0tcah0uuhjal7dban5/39688.pdf?rlkey=xhj2hefwajiqw5f7m8vdno08e&amp;dl=0" xr:uid="{6B86F0D3-B36F-6246-96A1-18B09DDE44D3}"/>
    <hyperlink ref="A178" r:id="rId370" display="https://www.dropbox.com/scl/fi/dfdb88bsc4im8qpunors0/39689.pdf?rlkey=7c32jr23oiu2ilg1mgzqalpei&amp;dl=0" xr:uid="{18825B0F-995B-AF4E-8963-ABD3BCB57230}"/>
    <hyperlink ref="A180" r:id="rId371" display="https://www.dropbox.com/scl/fi/ba0jfjwyjpqmvk9gkpmlp/39691.pdf?rlkey=o47vr5p6l154ifvmhtx0ne02d&amp;dl=0" xr:uid="{67683B31-A707-F94F-80AE-BA5DC7309320}"/>
    <hyperlink ref="A181" r:id="rId372" display="https://www.dropbox.com/scl/fi/26kbemsxf701g1t7djea3/39692.pdf?rlkey=749w5aqbwbxz2hq1hf42j1ykl&amp;dl=0" xr:uid="{81096A0B-EF1C-A44A-A809-769D56094502}"/>
    <hyperlink ref="A182" r:id="rId373" display="https://www.dropbox.com/scl/fi/hrqwhcizgorl4w74swh2z/39693.pdf?rlkey=ashpodgrqvun7qcfr04shqy6q&amp;dl=0" xr:uid="{F39E544F-0023-0F4E-BA0B-E6D1EF162E9C}"/>
    <hyperlink ref="A183" r:id="rId374" display="https://www.dropbox.com/scl/fi/zjmnt3rpj6cv54fik2sp1/39694.pdf?rlkey=8nt1blx9yb6dkltsgjxt3dfme&amp;dl=0" xr:uid="{25753AE7-1337-5F43-A084-9D8DF036AE49}"/>
    <hyperlink ref="A185" r:id="rId375" display="https://www.dropbox.com/scl/fi/ylluqxedftx9w7z7xrdjw/39699.pdf?rlkey=kqxnlar0pkogslof2jk564hdd&amp;dl=0" xr:uid="{1C1B140F-B227-0D40-AA77-CE792DD64A52}"/>
    <hyperlink ref="A187" r:id="rId376" display="https://www.dropbox.com/scl/fi/ltsn3x7nihlpvuc64ek77/39701.pdf?rlkey=pm3cjna3k72eey5m6ek051cax&amp;dl=0" xr:uid="{D0377794-E415-9448-9592-81645544BC79}"/>
    <hyperlink ref="A188" r:id="rId377" display="https://www.dropbox.com/scl/fi/cx3opuooyttpekkcg2vn5/39702.pdf?rlkey=9os9bjysk12qr4zc32c4ls14d&amp;dl=0" xr:uid="{48793C0B-D136-A041-99D5-3E9A72934C08}"/>
    <hyperlink ref="A184" r:id="rId378" display="https://www.dropbox.com/scl/fi/6oi72xe5tmmdwqeftxxli/39696.pdf?rlkey=xpto96qzw7ivod53nx4kr4w9d&amp;dl=0" xr:uid="{9B5455C3-4A4E-3F4A-B2D3-7CCC4D3EC32D}"/>
    <hyperlink ref="A186" r:id="rId379" display="https://www.dropbox.com/scl/fi/v6kys112y4ei7izkon67v/39700.pdf?rlkey=t6yvl2hie3amn93ygtmz9rjgx&amp;dl=0" xr:uid="{EF5FE464-25F8-B043-93F2-9499D5E43BEE}"/>
    <hyperlink ref="A189" r:id="rId380" display="https://www.dropbox.com/scl/fi/7psqmhj0y9caaqdvyr4bu/39703.pdf?rlkey=xmp5jjnr3vv51gzng287v2cbo&amp;dl=0" xr:uid="{7CD4DAA0-66D2-0E4A-A63D-6347D52332AE}"/>
    <hyperlink ref="A190" r:id="rId381" display="https://www.dropbox.com/scl/fi/0hnvi8of5754gz47o5ijs/39705.pdf?rlkey=38q1fwwqg7rcrjzn5ssnkub57&amp;dl=0" xr:uid="{490DF2E5-F7F6-4040-BEA9-336CE302540E}"/>
    <hyperlink ref="A191" r:id="rId382" display="https://www.dropbox.com/scl/fi/tzemwczpe02b7idi3tj60/39706.pdf?rlkey=85p7fhgwdgr9osk8mdvju5159&amp;dl=0" xr:uid="{C3066C88-20F4-9B45-A1CC-14A6A2334F0C}"/>
    <hyperlink ref="A192" r:id="rId383" display="https://www.dropbox.com/scl/fi/5ikmk8swopixpmsocs9rd/39709.pdf?rlkey=ht0oo5rt47nhwhpx22jz59p50&amp;dl=0" xr:uid="{84209CAB-80C5-A44B-9B17-03DE3005092B}"/>
    <hyperlink ref="A193" r:id="rId384" display="https://www.dropbox.com/scl/fi/bns31wp1b6fhzqobvlk9m/39710.pdf?rlkey=mk7fpemay73p0xryqexoj5yyy&amp;dl=0" xr:uid="{AA45EABA-DA36-DC45-A6F0-F418DB7386BF}"/>
    <hyperlink ref="A194" r:id="rId385" display="https://www.dropbox.com/scl/fi/ityn8oxuzbj59bac3l8d6/39711.pdf?rlkey=mhdr38lj9zvmrybmq31o9tn8g&amp;dl=0" xr:uid="{6D4328CF-F655-B046-BA16-8B5AFC689FB0}"/>
    <hyperlink ref="A195" r:id="rId386" display="https://www.dropbox.com/scl/fi/jd1a593zqkl248awuvbj8/39712.pdf?rlkey=tripjvdmcut5v0fbdd1sngvk1&amp;dl=0" xr:uid="{A6FAD49C-5F41-3541-AF7A-F89C1912D9B8}"/>
    <hyperlink ref="A196" r:id="rId387" display="https://www.dropbox.com/scl/fi/oirrv2v0wgmk6a7j94z7y/39715.pdf?rlkey=gqm0t6qkkyngi4e31a010bltm&amp;dl=0" xr:uid="{15DCF34F-E4E5-2045-9023-B0F3AB2D50BC}"/>
    <hyperlink ref="A197" r:id="rId388" display="https://www.dropbox.com/scl/fi/hsyboueymup6zczyln0w8/39716.pdf?rlkey=7n0pugw6ov3p8awl3qqw2pglm&amp;dl=0" xr:uid="{D5A00C13-AE16-6645-A0E6-0D5B8A3DE219}"/>
    <hyperlink ref="A198" r:id="rId389" display="https://www.dropbox.com/scl/fi/ck74b7ot8mufmnsqp89pn/39717.pdf?rlkey=1lpgpkqd9nhvb98rppkrnall6&amp;dl=0" xr:uid="{164AF046-0EEB-004F-9750-D04A24E91B38}"/>
    <hyperlink ref="A199" r:id="rId390" display="https://www.dropbox.com/scl/fi/5u7j9603s95mrn3bkau0g/39718.pdf?rlkey=2zkdd7cn4omajm06whzmuoc0n&amp;dl=0" xr:uid="{DD03DE54-FE08-4944-9FCD-C245C1253F70}"/>
    <hyperlink ref="A200" r:id="rId391" display="https://www.dropbox.com/scl/fi/ymfwsn73f4c99538alsli/39725.pdf?rlkey=teu8ol974l9psztkdpzzcakfb&amp;dl=0" xr:uid="{864725C4-2CA2-E640-B4DA-B8157F311509}"/>
    <hyperlink ref="A201" r:id="rId392" display="https://www.dropbox.com/scl/fi/fhqbh8u0zfti86syeyeq6/39726.pdf?rlkey=4790rmlfb3ipjo3765m65s3mo&amp;dl=0" xr:uid="{73A5989F-06D1-1948-AF90-8E4622CDEDF5}"/>
    <hyperlink ref="A202" r:id="rId393" display="https://www.dropbox.com/scl/fi/rywqty5xaz4eo04h1xmai/39727.pdf?rlkey=5en1hy61rm690i7pocnlpuckp&amp;dl=0" xr:uid="{472B4DA4-D04B-1344-872E-732D27438607}"/>
    <hyperlink ref="A203" r:id="rId394" display="https://www.dropbox.com/scl/fi/43t8ikfuqyl7s7jqs8ifp/39731.pdf?rlkey=gayzkkd3azs8z5g775q6a3ktz&amp;dl=0" xr:uid="{FA676174-02F1-D14C-8969-A56FEE87604A}"/>
    <hyperlink ref="A204" r:id="rId395" display="https://www.dropbox.com/scl/fi/0m6ks80ohnkrsa17vnuwu/39732.pdf?rlkey=fgyrfjqy0zpwioudp3tqztfiq&amp;dl=0" xr:uid="{B054B392-477E-1040-9AFC-6768A9382D91}"/>
    <hyperlink ref="A205" r:id="rId396" display="https://www.dropbox.com/scl/fi/gnoo252p58d4thvsmnf8w/39744.pdf?rlkey=m0kaxi7133c58jvw08iuxyg1z&amp;dl=0" xr:uid="{0BAF2D11-3657-5146-A383-AABBEF51A141}"/>
    <hyperlink ref="A206" r:id="rId397" display="https://www.dropbox.com/scl/fi/xicmk7f1rprhzgldalg67/39745.pdf?rlkey=6h164vu1er2kua6xfozvzgw9w&amp;dl=0" xr:uid="{11A76863-5EA0-4A48-98C5-E88C5B92ACB9}"/>
    <hyperlink ref="A207" r:id="rId398" display="https://www.dropbox.com/scl/fi/4igrdw2xp9u9x1c3cjzy8/39746.pdf?rlkey=6mryc8qvotxg3bbd67p44v9e0&amp;dl=0" xr:uid="{8019608D-083D-9143-A447-E45AD63B9F2D}"/>
    <hyperlink ref="A208" r:id="rId399" display="https://www.dropbox.com/scl/fi/blw08w9p33s6a58awmz2s/39751.pdf?rlkey=l4hphokvmt4wd4rf4uglukmr2&amp;dl=0" xr:uid="{FB38A4C7-C9B9-4A4D-B881-402E0F3D560A}"/>
    <hyperlink ref="A209" r:id="rId400" display="https://www.dropbox.com/scl/fi/rzre23cg3qsff3nqvepj1/39752.pdf?rlkey=xj30xuydndrqvdew0f635jlt1&amp;dl=0" xr:uid="{2836D616-44D2-5F4F-A56A-FC4EA14CB9F5}"/>
    <hyperlink ref="A210" r:id="rId401" display="https://www.dropbox.com/scl/fi/l1g0vl1cbupu8xsc9738d/39753.pdf?rlkey=loml9ypre796r7uslm5d45rtr&amp;dl=0" xr:uid="{3B639B32-DE2E-4C40-A31E-EB857D0EE931}"/>
    <hyperlink ref="A211" r:id="rId402" display="https://www.dropbox.com/scl/fi/f2gyhuldwubufbnnnuwxa/39754.pdf?rlkey=ylammwk0z65plism1okojxtpx&amp;dl=0" xr:uid="{2A9B674E-DD3D-AE4F-A48B-B334B490D7DE}"/>
    <hyperlink ref="A212" r:id="rId403" display="https://www.dropbox.com/scl/fi/w2yx8qan5mfwwbpw54w56/39755.pdf?rlkey=a9h99h47tatehg8lhvn81k3eg&amp;dl=0" xr:uid="{6349B0C4-20AA-FC4C-9B4B-645895C04F9B}"/>
    <hyperlink ref="A213" r:id="rId404" display="https://www.dropbox.com/scl/fi/yii2davhgn6cf64fs1uta/39761.pdf?rlkey=4u52u7w2jhiookagdp9u81mnx&amp;dl=0" xr:uid="{C3685633-F47D-D940-81B6-198A6A9B2364}"/>
    <hyperlink ref="A214" r:id="rId405" display="https://www.dropbox.com/scl/fi/nzvxdf0wql5tlwnuaiaf7/39762.pdf?rlkey=7igezzmfoob2bc47xromvfoh2&amp;dl=0" xr:uid="{71F4D8A3-5167-F34D-9656-DEDCBE26E243}"/>
    <hyperlink ref="A215" r:id="rId406" display="https://www.dropbox.com/scl/fi/sgtbtql2dlzav5bzj412c/39763.pdf?rlkey=qgo67x0tclo52e8nafoy8yp7i&amp;dl=0" xr:uid="{B8D6417E-B714-CA47-8B59-F95566DEEDF3}"/>
    <hyperlink ref="A216" r:id="rId407" display="https://www.dropbox.com/scl/fi/zmsnx089f2v7vbiwelmfg/39764.pdf?rlkey=l13ta7t9zjnpxmjn0lxyrt4wk&amp;dl=0" xr:uid="{E2F1061E-8AFA-9249-A4AC-4A1D3F2C3E8E}"/>
    <hyperlink ref="A217" r:id="rId408" display="https://www.dropbox.com/scl/fi/ty2zp7zbx88vksx4k5ezn/39765.pdf?rlkey=lufkw9wqbdwzuvze0j9ssehfa&amp;dl=0" xr:uid="{542D301D-2D3B-5E47-B077-6E96558002BE}"/>
    <hyperlink ref="A218" r:id="rId409" display="https://www.dropbox.com/scl/fi/u4vrbh5tojzjm01i4guhi/39769.pdf?rlkey=223n7wopiordybxpkt6r5eh6i&amp;dl=0" xr:uid="{0BFBD7D1-ECA1-734E-B6B1-75C12B19FD64}"/>
    <hyperlink ref="A219" r:id="rId410" display="https://www.dropbox.com/scl/fi/sbbj9rpiyjslyyrr15vee/39772.pdf?rlkey=dol5p1z6zbf9rg1sr1dr5gv34&amp;dl=0" xr:uid="{3A60A884-43CB-F643-9D79-58D9F31D719F}"/>
    <hyperlink ref="A220" r:id="rId411" display="https://www.dropbox.com/scl/fi/rygsp77yk3opj54wgpike/39773.pdf?rlkey=3sq2xfrnh6thsvr2mu5eb9qun&amp;dl=0" xr:uid="{2BACDC21-6BAE-6C46-9B4F-9E24544132C5}"/>
    <hyperlink ref="A221" r:id="rId412" display="https://www.dropbox.com/scl/fi/w9z2cjjlhq9h3qqx6zkgk/39774.pdf?rlkey=pl00q8aw2mjyu8fadcji77nok&amp;dl=0" xr:uid="{CC364DC0-1A00-F445-A43D-C738BFAEE46E}"/>
    <hyperlink ref="A222" r:id="rId413" display="https://www.dropbox.com/scl/fi/4lhtljrwg775ab15qswq6/39775.pdf?rlkey=edyztpoaodzjjh35fn8ti0ucp&amp;dl=0" xr:uid="{C404865E-7D9C-CD4C-955E-AC185A9FA943}"/>
    <hyperlink ref="A223" r:id="rId414" display="https://www.dropbox.com/scl/fi/lfiah5amotu2286uj99sn/39776.pdf?rlkey=s3j1zby81eg4dr3l80ioawvz2&amp;dl=0" xr:uid="{0FAD2FD0-DE29-5F4C-99F3-6CD6D05AB0C6}"/>
    <hyperlink ref="A224" r:id="rId415" display="https://www.dropbox.com/scl/fi/6kcgsqsssq8qleb1w1k4k/39777.pdf?rlkey=kl1qe8fnxsfnjjpkdzqat7p5o&amp;dl=0" xr:uid="{40BB22A5-CA30-DC4E-92E9-3C8EEEBF41F5}"/>
    <hyperlink ref="A225" r:id="rId416" display="https://www.dropbox.com/scl/fi/9ifw2gg6ixetf4hucbajx/39778.pdf?rlkey=yx5akiwgfj8oyra8064odw3le&amp;dl=0" xr:uid="{FA5D3AFD-C803-E04E-BB8D-27133381118E}"/>
    <hyperlink ref="A226" r:id="rId417" display="https://www.dropbox.com/scl/fi/r9nyv4rvwj8yoegca9tgm/39780.pdf?rlkey=ltpv7vbo69yr1vr1220mqse9r&amp;dl=0" xr:uid="{6708ED2C-1C4D-3242-9F0D-635009A33DD8}"/>
    <hyperlink ref="A227" r:id="rId418" display="https://www.dropbox.com/scl/fi/bzy6s75rkl45ape8npq8s/39781.pdf?rlkey=ew3r9lz00or2ilqiz69g1paa9&amp;dl=0" xr:uid="{FD8B2AB7-0617-DA4A-AF54-8A0A49F1C735}"/>
    <hyperlink ref="A228" r:id="rId419" display="https://www.dropbox.com/scl/fi/hc9xnhlbr96hwgh8kdtv4/39782.pdf?rlkey=hmj2nlb0dt14iwllt31bw0gxy&amp;dl=0" xr:uid="{5280BF69-5FF6-FE4F-B5EC-D1F7036A7FAE}"/>
    <hyperlink ref="A229" r:id="rId420" display="https://www.dropbox.com/scl/fi/rdsnblns65kot2dllpkjj/39783.pdf?rlkey=gva7yx5hf6hirz9lcea85w0wg&amp;dl=0" xr:uid="{3AD6B0A7-15BE-C541-A727-17708648AA03}"/>
    <hyperlink ref="A230" r:id="rId421" display="https://www.dropbox.com/scl/fi/fx3vqe222ksneq0k5gak2/39784.pdf?rlkey=3sbnaqmzn9lcfbprjvm1zmx9x&amp;dl=0" xr:uid="{34620C46-FC2D-0842-B26A-B5DA2CEE56D1}"/>
    <hyperlink ref="A231" r:id="rId422" display="https://www.dropbox.com/scl/fi/b39h84fe7qy8txnvwboq3/39785.pdf?rlkey=1ig23epp9rgrtjxxif1j15k9y&amp;dl=0" xr:uid="{D6D34C24-362C-1147-923E-1BABB0B14EA1}"/>
    <hyperlink ref="A232" r:id="rId423" display="https://www.dropbox.com/scl/fi/rt4ntp662v8x3pp8d1ei8/39788.pdf?rlkey=ovjpq6px89fj4j66cpqqv7u86&amp;dl=0" xr:uid="{B976BB1B-B05D-4A42-B035-ADAB8625DDA9}"/>
    <hyperlink ref="A233" r:id="rId424" display="https://www.dropbox.com/scl/fi/v9vnvuwxhu17e913cvo74/39789.pdf?rlkey=cq6yagb8d7n8ckha3h26tffdp&amp;dl=0" xr:uid="{4E22BDED-8C0E-B649-96E3-BBE5AA6B9CA2}"/>
    <hyperlink ref="A234" r:id="rId425" display="https://www.dropbox.com/scl/fi/c88cux7ilypw5425u27ky/39793.pdf?rlkey=zxczld45hsgyr0vqrwzrc0bdi&amp;dl=0" xr:uid="{D627BC85-0179-E241-B593-FBCDEA2D2FBD}"/>
    <hyperlink ref="A235" r:id="rId426" display="https://www.dropbox.com/scl/fi/1c6rt26t9y8g2t1zk34tt/39794.pdf?rlkey=wml2s4ru1wr55cov8dlhkll9p&amp;dl=0" xr:uid="{DEE1D4A6-186D-1340-99C3-680808C6A55D}"/>
    <hyperlink ref="A236" r:id="rId427" display="https://www.dropbox.com/scl/fi/0n5lqkuhq7plrgnpwpmdr/39795.pdf?rlkey=3h7dpsscldyqi2oodkondeqp2&amp;dl=0" xr:uid="{3F38945C-5DED-9E4F-A156-E227A85D96FC}"/>
    <hyperlink ref="A237" r:id="rId428" display="https://www.dropbox.com/scl/fi/alhmwc7tacgya2qt2j94j/39796.pdf?rlkey=rjwwc85z3m750y3fmfnthad2b&amp;dl=0" xr:uid="{4B7F1567-9B17-334C-A689-3A64D59DFAF8}"/>
    <hyperlink ref="A238" r:id="rId429" display="https://www.dropbox.com/scl/fi/z9hk49hss631aepi6mx7t/39797.pdf?rlkey=r9yjehmbvi7u4bvghv3y6969b&amp;dl=0" xr:uid="{73BD70D7-F98D-3E47-BE2D-F0D2C82F9C38}"/>
    <hyperlink ref="A239" r:id="rId430" display="https://www.dropbox.com/scl/fi/gu6cqc5ku5xpe50tk0coe/39798.pdf?rlkey=msjjez0xvhcew1n0smobmif2w&amp;dl=0" xr:uid="{E84DB448-449F-2C4B-8B84-313434856B7F}"/>
    <hyperlink ref="A240" r:id="rId431" display="https://www.dropbox.com/scl/fi/3u4h97paacupgjbf162r5/39799.pdf?rlkey=12hc6s8cjdgrh6yw530hk3a36&amp;dl=0" xr:uid="{631F09DE-31D3-9242-BBA0-01590CEA9915}"/>
    <hyperlink ref="A241" r:id="rId432" display="https://www.dropbox.com/scl/fi/p0rqaipp71nhr222n3wa1/39800.pdf?rlkey=yu8q4olyybqzplwdm085tb5au&amp;dl=0" xr:uid="{F2B3216E-FB77-164E-80E8-6A965401100B}"/>
    <hyperlink ref="A242" r:id="rId433" display="https://www.dropbox.com/scl/fi/xj7vajapo5xr3f108o1kd/39811.pdf?rlkey=d90on6sdv4rd93wi83fd8wxf4&amp;dl=0" xr:uid="{F0B1BDAF-BEBC-3944-9B26-53B0504CDC42}"/>
    <hyperlink ref="A243" r:id="rId434" display="https://www.dropbox.com/scl/fi/cscetixtpyatrwi80kqz6/39812.pdf?rlkey=60e6sfejm490ittia74vtqhge&amp;dl=0" xr:uid="{8F877205-0D7A-AB4D-AD87-D9B9C147A609}"/>
    <hyperlink ref="A244" r:id="rId435" display="https://www.dropbox.com/scl/fi/5qkvrwo31fqsf03e29n3k/39813.pdf?rlkey=pgitjcqb8r3tzjj9tyn4k1gao&amp;dl=0" xr:uid="{20EA022F-B9E4-DD46-8317-CC3B60B13271}"/>
    <hyperlink ref="A245" r:id="rId436" display="https://www.dropbox.com/scl/fi/t40nbiktzzwtz3m6in911/39816.pdf?rlkey=fzaz4l7cwocooirwt6exl5zcj&amp;dl=0" xr:uid="{C472F211-220B-5F4D-BA92-8F066B35CB72}"/>
    <hyperlink ref="A246" r:id="rId437" display="https://www.dropbox.com/scl/fi/nmvnuvvvpas81v359fb8o/39817.pdf?rlkey=67kxzb247yeikkrpt2zhyucpg&amp;dl=0" xr:uid="{31D82415-C07B-5841-B7D6-02FDEB0C5E74}"/>
    <hyperlink ref="A247" r:id="rId438" display="https://www.dropbox.com/scl/fi/h6uwq48u603ithyti9jlr/39818.pdf?rlkey=4hwtil62un2pe0dii2dd8hmpk&amp;dl=0" xr:uid="{84A3F958-5A01-B442-B592-4AC7AC2CFF3D}"/>
    <hyperlink ref="A248" r:id="rId439" display="https://www.dropbox.com/scl/fi/qjwd99qa4k9tlg0xy9jb8/39819.pdf?rlkey=au1u18b78iyx0skuaojlbrvuc&amp;dl=0" xr:uid="{2627C92C-5CBF-4A4E-9495-54B520D97817}"/>
    <hyperlink ref="A249" r:id="rId440" display="https://www.dropbox.com/scl/fi/buwzyyeidd3x0kiqrutk0/39820.pdf?rlkey=wy84g2itfrguxdm6juizalmjy&amp;dl=0" xr:uid="{3DAB6193-B38F-DC46-A8FD-A2E43C7C666B}"/>
    <hyperlink ref="A250" r:id="rId441" display="https://www.dropbox.com/scl/fi/bqejk4newu0pwa5ergs70/39821.pdf?rlkey=ho1bcpjxeb7n4m0fs3984is36&amp;dl=0" xr:uid="{82D0A54B-BADF-FD46-AFF3-95130F78F2A0}"/>
    <hyperlink ref="A251" r:id="rId442" display="https://www.dropbox.com/scl/fi/pz03hgb2y6ks9on63u95e/39822.pdf?rlkey=mexr20s24gwdqt8t9io5r9c4s&amp;dl=0" xr:uid="{39C9196F-7C43-5A44-9B2E-972F237B9929}"/>
    <hyperlink ref="A252" r:id="rId443" display="https://www.dropbox.com/scl/fi/4uhrxfjbpbzxbn715mo2a/39823.pdf?rlkey=ya3er0mxs6w1lu5g2k2nbgg9c&amp;dl=0" xr:uid="{923A5627-D6D0-6744-B2F9-77B2E2F8426F}"/>
    <hyperlink ref="A253" r:id="rId444" display="https://www.dropbox.com/scl/fi/vmisgv3ucqtcxcc7r5kux/39825.pdf?rlkey=sdvbjnygtdsa113pcuzm58hob&amp;dl=0" xr:uid="{1B90ADE3-D827-E84A-975A-CFFBAC46F491}"/>
    <hyperlink ref="A254" r:id="rId445" display="https://www.dropbox.com/scl/fi/nni4ttxxt6g908c7mgbjl/39826.pdf?rlkey=48yr406coz99xlu4uzlftf5hr&amp;dl=0" xr:uid="{82505A6C-3E59-AD47-857C-C3E590F7ACD0}"/>
    <hyperlink ref="A255" r:id="rId446" display="https://www.dropbox.com/scl/fi/uwseg1rshqysmyhsjg1y3/39827.pdf?rlkey=utdkccs5bx2pdn0672ueaeg9j&amp;dl=0" xr:uid="{D0232434-A5DC-AE41-9987-B23FB260E40E}"/>
    <hyperlink ref="A256" r:id="rId447" display="https://www.dropbox.com/scl/fi/i6og0fk2oles0viutwn06/39828.pdf?rlkey=8gnvm8xo8rche1nmzthi11wk1&amp;dl=0" xr:uid="{33EEA170-5A75-964E-B97E-F9542197F948}"/>
    <hyperlink ref="A257" r:id="rId448" display="https://www.dropbox.com/scl/fi/59b2104l4796dt8uba6kk/39829.pdf?rlkey=1wg6mgq5epnh8dp8sqans2b1t&amp;dl=0" xr:uid="{8C041C00-E5BC-5046-90B7-450557B6EB24}"/>
    <hyperlink ref="A258" r:id="rId449" display="https://www.dropbox.com/scl/fi/139ncj6on61lioevdc06e/39830.pdf?rlkey=m75ol132bhhwigz9tscrv5edp&amp;dl=0" xr:uid="{5707C9D7-04D0-564F-A82E-8C8BAC507FE4}"/>
    <hyperlink ref="A259" r:id="rId450" display="https://www.dropbox.com/scl/fi/53bnk7pjuxh6fglmjavmd/39835.pdf?rlkey=p9lel70encsgrvdd6eup20904&amp;dl=0" xr:uid="{A9705E69-2EE0-994E-BE92-DB78E4A35558}"/>
    <hyperlink ref="A260" r:id="rId451" display="https://www.dropbox.com/scl/fi/dh3pxji0ogvbnht0phgrt/39836.pdf?rlkey=a39pdmi6k4ihq3xphauwig0e0&amp;dl=0" xr:uid="{A60D0995-DFE5-FF43-9676-82116612B553}"/>
    <hyperlink ref="A261" r:id="rId452" display="https://www.dropbox.com/scl/fi/o1kfo6mlp57d11t29cv8e/39838.pdf?rlkey=svwusu7v556x8m96vyfhcsdns&amp;dl=0" xr:uid="{A22A6BFA-B827-A54E-B873-F9B62E03E726}"/>
    <hyperlink ref="A262" r:id="rId453" display="https://www.dropbox.com/scl/fi/ny3rebhe08hha1j8jbwl0/39839.pdf?rlkey=2lo40l2caow4789iz6lzvtqwa&amp;dl=0" xr:uid="{1E8231DC-2AD0-B044-A70F-9CD6CF8F3454}"/>
    <hyperlink ref="A263" r:id="rId454" display="https://www.dropbox.com/scl/fi/vuo0ru3j79a26kmrhvkb9/39841.pdf?rlkey=ryh91lnzjyyjkmtrzc10svpmm&amp;dl=0" xr:uid="{A2CD14FB-3016-3A42-B0A7-A580E2B3BA3D}"/>
    <hyperlink ref="A264" r:id="rId455" display="https://www.dropbox.com/scl/fi/aricl9vkrx7rtfgb981jz/39842.pdf?rlkey=sr3l6j4vk6tr15fxz29ps814d&amp;dl=0" xr:uid="{43481A7C-BC2B-0C4F-8783-263BD5691326}"/>
    <hyperlink ref="A265" r:id="rId456" display="https://www.dropbox.com/scl/fi/h6y0rme6xrmz5lp6gefnx/39843.pdf?rlkey=uzp84orccycx2iqypqkjt9xe0&amp;dl=0" xr:uid="{54698A8A-0AFB-A649-8CB4-464A666F1665}"/>
    <hyperlink ref="A266" r:id="rId457" display="https://www.dropbox.com/scl/fi/kfxj3rz279itjr4e1mjuu/39844.pdf?rlkey=zvgflifgvbyx3za3y9a4nilvk&amp;dl=0" xr:uid="{93DF82C7-2EC0-9842-A8A5-3F74C117D41D}"/>
    <hyperlink ref="A267" r:id="rId458" display="https://www.dropbox.com/scl/fi/60kxb47ovq7hxvmoznjra/39845.pdf?rlkey=pzvryjrt8owl7ehsmi8e1hie9&amp;dl=0" xr:uid="{A215F056-E373-F647-926B-60AC54C3E405}"/>
    <hyperlink ref="A268" r:id="rId459" display="https://www.dropbox.com/scl/fi/klv1djyyy6btlqfjgliz2/39846.pdf?rlkey=co50ga4a247jov7lndg8yqgp4&amp;dl=0" xr:uid="{C9E2B296-0A00-6640-9A2A-0FFF3FF40311}"/>
    <hyperlink ref="A269" r:id="rId460" display="https://www.dropbox.com/scl/fi/r7s7irt17epadvf77pf5i/39847.pdf?rlkey=j7nfi6thg1beu38jbpjo5uk0d&amp;dl=0" xr:uid="{C3375831-5F6A-FD4D-BE69-16A109FA29E5}"/>
    <hyperlink ref="A270" r:id="rId461" display="https://www.dropbox.com/scl/fi/rig5ejvaszsoad5tic9pv/39848.pdf?rlkey=fj09c7wuolbzxp9wen5y9ivzy&amp;dl=0" xr:uid="{A29E5A9B-542C-4A4C-A805-E9A014D0372E}"/>
    <hyperlink ref="A271" r:id="rId462" display="https://www.dropbox.com/scl/fi/gchh5h9yvp2v3z7paujjf/39854.pdf?rlkey=dcu3dt3vbgz2meigvo57ho04e&amp;dl=0" xr:uid="{9081414F-C7A1-F443-B8C5-CA8B74E728DF}"/>
    <hyperlink ref="A272" r:id="rId463" display="https://www.dropbox.com/scl/fi/0t21i1mqgkfh1q6s9cz6q/39855.pdf?rlkey=guvobw8ze2nsmlvrnyi3qzvbp&amp;dl=0" xr:uid="{5928EAF3-2D7B-C748-AE0B-1FE760F10AC7}"/>
    <hyperlink ref="A273" r:id="rId464" display="https://www.dropbox.com/scl/fi/jyv393oujha8zojb6b90v/39859.pdf?rlkey=obc58tvovcuy91qnw5qpdild9&amp;dl=0" xr:uid="{BBBEC768-DF99-D041-BDDE-C4C48CA2861D}"/>
    <hyperlink ref="A274" r:id="rId465" display="https://www.dropbox.com/scl/fi/2cj5eqerh94ehft1nwth2/39865.pdf?rlkey=bn1du1x74r0khul6q817r9ijv&amp;dl=0" xr:uid="{7B94CB47-1320-1647-9515-610A3343064E}"/>
    <hyperlink ref="A275" r:id="rId466" display="https://www.dropbox.com/scl/fi/cwd6skhmo70xgkfpnnchu/39866.pdf?rlkey=hl17xxf0ho0tt2mzm02magl47&amp;dl=0" xr:uid="{FB6C716F-19AD-7246-8724-75EF9363B1E8}"/>
    <hyperlink ref="A276" r:id="rId467" display="https://www.dropbox.com/scl/fi/rrad5lldq093kjeip7ue5/39868.pdf?rlkey=u9za4rbikeznwtuqre72n2o23&amp;dl=0" xr:uid="{0D2B1EDC-E85B-C747-B9D2-DC53B93988BC}"/>
    <hyperlink ref="A277" r:id="rId468" display="https://www.dropbox.com/scl/fi/v7f5o18xgoav7ks8z0jiq/39869.pdf?rlkey=uqn0ns1qjxhadqwm59kbsis42&amp;dl=0" xr:uid="{5914DC0D-03BA-3744-A168-B0A39137C745}"/>
    <hyperlink ref="A278" r:id="rId469" display="https://www.dropbox.com/scl/fi/qo7sqtiu4p91ipt2nbwvn/39870.pdf?rlkey=yif2mzcq28meof58euoehyyab&amp;dl=0" xr:uid="{22CEEBEA-0FAC-8E4C-907A-D1341556BBDD}"/>
    <hyperlink ref="A279" r:id="rId470" display="https://www.dropbox.com/scl/fi/9vu0voqnzrlkqcq4sehl1/39872.pdf?rlkey=ovsw6qx91vk0euakvkg7qq2l7&amp;dl=0" xr:uid="{9093617B-3BD4-394D-BB45-628726159F4F}"/>
    <hyperlink ref="A280" r:id="rId471" display="https://www.dropbox.com/scl/fi/34qwrn71t4ww7gqo0tnp7/39873.pdf?rlkey=zjkie1332bqt763hrb3f16lwz&amp;dl=0" xr:uid="{B38B98C6-E6AB-4E40-BF85-2572CB690940}"/>
    <hyperlink ref="A281" r:id="rId472" display="https://www.dropbox.com/scl/fi/kl7x6h0hxpwk0zl6jh783/39874.pdf?rlkey=3groin405o9nhnj8pdfygubvo&amp;dl=0" xr:uid="{04A14914-A7C3-934B-836C-FED77FDC9EA2}"/>
    <hyperlink ref="A282" r:id="rId473" display="https://www.dropbox.com/scl/fi/twqd8vrmf1al5enrc6s6e/39875.pdf?rlkey=v602ddmuy7q71gm1c0i4xrgnn&amp;dl=0" xr:uid="{0484C99D-4423-6D41-B6C8-643CBBC963A2}"/>
    <hyperlink ref="A283" r:id="rId474" display="https://www.dropbox.com/scl/fi/co8ikoqacc0x9nab882gi/39877.pdf?rlkey=yz7ao4hvvmx37qsyam07mk13h&amp;dl=0" xr:uid="{D36B9C9A-EF13-4246-A54B-EBAFD342FEDA}"/>
    <hyperlink ref="A284" r:id="rId475" display="https://www.dropbox.com/scl/fi/9qjk1yc6lrxn57znxoe10/39879.pdf?rlkey=jkzacnnwnmpslhewwnwz86gwv&amp;dl=0" xr:uid="{37530B1E-FC52-0D4C-8C2A-E2DA9D0D5265}"/>
    <hyperlink ref="A285" r:id="rId476" display="https://www.dropbox.com/scl/fi/pm1c284yg6stztv7t84mg/39881.pdf?rlkey=ad1wj3inuhg6ii7m8x9zokz7e&amp;dl=0" xr:uid="{5D0EC0D9-CA88-9047-8DBB-998A8A960DB5}"/>
    <hyperlink ref="A286" r:id="rId477" display="https://www.dropbox.com/scl/fi/bfswqbjumarimrmwjrrog/39882.pdf?rlkey=8ne22bbn8pv82s1o4hp5b0tvd&amp;dl=0" xr:uid="{A99E58A3-E7AE-054F-ABFC-B647EAAE6E14}"/>
    <hyperlink ref="A287" r:id="rId478" display="https://www.dropbox.com/scl/fi/biaa8gvvn9rkoo379petb/39883.pdf?rlkey=ybqraz1cw0elyyhreafxirmbq&amp;dl=0" xr:uid="{596D48A2-E72D-274B-A298-8295002E83CE}"/>
    <hyperlink ref="A288" r:id="rId479" display="https://www.dropbox.com/scl/fi/qj04srjyxbn5by5g38ta5/39884.pdf?rlkey=m8qbxf51g880yw3kj67tsw1ox&amp;dl=0" xr:uid="{12662583-3324-4645-A46F-D6DBE87E2D43}"/>
    <hyperlink ref="A289" r:id="rId480" display="https://www.dropbox.com/scl/fi/2sqa8zeisvf029xfaydic/39885.pdf?rlkey=3fvst72nmux9lenhqteimowds&amp;dl=0" xr:uid="{9FA6361F-F1E3-2A42-A705-B0EDC6CF4CC5}"/>
    <hyperlink ref="A290" r:id="rId481" display="https://www.dropbox.com/scl/fi/9pppmsf4vdbrpk6h2cplk/39886.pdf?rlkey=5t0t90gu8n0kzvnap6zh1pp7k&amp;dl=0" xr:uid="{39F0A3FB-99E8-D34D-BAAB-F9165DEF3A0D}"/>
    <hyperlink ref="A291" r:id="rId482" display="https://www.dropbox.com/scl/fi/n9dw58dy3pd20706cgmp4/39889.pdf?rlkey=54t4r0v9x46kzchlqzngg4mkk&amp;dl=0" xr:uid="{09CEA094-FFB8-2A44-83DC-CD02A1CA0E59}"/>
    <hyperlink ref="A292" r:id="rId483" display="https://www.dropbox.com/scl/fi/0dmwpx9m58tv5siz3uipi/39891.pdf?rlkey=fpkr7c5zg2w47f6fm028ey3zs&amp;dl=0" xr:uid="{385FD7C2-A9CF-494F-9B5A-11CD5B9A9ACC}"/>
    <hyperlink ref="A293" r:id="rId484" display="https://www.dropbox.com/scl/fi/s2wzlrqu50dfwzx7v4nq0/39896.pdf?rlkey=chcug71y5rk3up5lxec8dmy8c&amp;dl=0" xr:uid="{7C136609-F85B-5C4A-802E-F00300D34C35}"/>
    <hyperlink ref="A294" r:id="rId485" display="https://www.dropbox.com/scl/fi/hnz626s3aw190n77hl0n3/39898.pdf?rlkey=b2aat77dumgkcm60r5k58cub8&amp;dl=0" xr:uid="{2B2649AF-9407-1349-AAC8-88D90B806D7A}"/>
    <hyperlink ref="A295" r:id="rId486" display="https://www.dropbox.com/scl/fi/ub0y7nq4a6535iltszgkd/39899.pdf?rlkey=837y35gia7ixei8kqtnobzd3z&amp;dl=0" xr:uid="{02C42395-9519-2B4F-969B-7C56D1AAA639}"/>
    <hyperlink ref="A296" r:id="rId487" display="https://www.dropbox.com/scl/fi/cteqqolhbj5rqgbckxuku/39901.pdf?rlkey=r6cr9gj9kjc7ww16i5to5c418&amp;dl=0" xr:uid="{C730BB7B-A884-0643-B901-070E0B7A1834}"/>
    <hyperlink ref="A297" r:id="rId488" display="https://www.dropbox.com/scl/fi/v8gh6j4xddnwujj9ir8zw/39903.pdf?rlkey=fkl0kybe7xks84ev5aud89z20&amp;dl=0" xr:uid="{5D77196A-9DBC-1342-8869-0E4F5610F621}"/>
    <hyperlink ref="A298" r:id="rId489" display="https://www.dropbox.com/scl/fi/p52j2kqlv3b3hr21wf26l/39910.pdf?rlkey=70nk3l0s7pzwpobo822gefu1g&amp;dl=0" xr:uid="{BEDA046E-22E0-884C-A137-40B318B7B092}"/>
    <hyperlink ref="A299" r:id="rId490" display="https://www.dropbox.com/scl/fi/k8pk0dhzs1x9m998ktx4w/39911.pdf?rlkey=02o38xgkiimucj99kf7ojicnm&amp;dl=0" xr:uid="{BB6F88F4-BE58-4549-903A-9AE7D5A6F30F}"/>
    <hyperlink ref="A300" r:id="rId491" display="https://www.dropbox.com/scl/fi/xpo7by50t49rahjade1dc/39912.pdf?rlkey=k3zcfk4ktphe3x1zy6r7wtbfu&amp;dl=0" xr:uid="{AD58FBAA-3D9C-E341-B428-E74BB2D9FBC3}"/>
    <hyperlink ref="A301" r:id="rId492" display="https://www.dropbox.com/scl/fi/dft62u21iao4c2ei7oemc/39913.pdf?rlkey=mmdcutx3lwpwrdy88qcv1u0pf&amp;dl=0" xr:uid="{484AF82D-7FAE-5046-A750-8C2EED54918F}"/>
    <hyperlink ref="A302" r:id="rId493" display="https://www.dropbox.com/scl/fi/kkinx6g3e1w35oz9p4zir/39914.pdf?rlkey=mpkhjlq5tzu9gfyb7ekym2xyk&amp;dl=0" xr:uid="{753A2DB9-6421-CD4C-A404-C23A263B6B5D}"/>
    <hyperlink ref="A303" r:id="rId494" display="https://www.dropbox.com/scl/fi/ooro6wwpxtusgfe0s8mz4/39915.pdf?rlkey=karyykiuafaiovmfp8351lrky&amp;dl=0" xr:uid="{694C0EBF-6F58-3844-869E-4D3D2F85CD6E}"/>
    <hyperlink ref="A304" r:id="rId495" display="https://www.dropbox.com/scl/fi/kp9ojvc5a2w3zywt5xqlx/39918.pdf?rlkey=c7gegmtb8m94fe1u4ytt9qk3e&amp;dl=0" xr:uid="{26336F15-89D8-344C-8B28-158D08994E2E}"/>
    <hyperlink ref="A305" r:id="rId496" display="https://www.dropbox.com/scl/fi/wg8i9750brfjzs2j7vtxi/39919.pdf?rlkey=4wywipe9egbbheavk3wr5d5tx&amp;dl=0" xr:uid="{B413E1E8-F96A-C441-A2CE-7C5A31E38D1B}"/>
    <hyperlink ref="A306" r:id="rId497" display="https://www.dropbox.com/scl/fi/ufsd4huf5s415iib9jo7k/39920.pdf?rlkey=7pnwrf0rzerp0jcnoyid7um3x&amp;dl=0" xr:uid="{4CB1B082-4A87-BE47-9062-FC005D4F4DA5}"/>
    <hyperlink ref="A307" r:id="rId498" display="https://www.dropbox.com/scl/fi/w0vu0xmz9xsf1ma89sicq/39932.pdf?rlkey=m9ffr8yt1t1v3s02i03rlodjv&amp;dl=0" xr:uid="{5282B490-26D7-A64E-BE2E-D523DC00725D}"/>
    <hyperlink ref="A308" r:id="rId499" display="https://www.dropbox.com/scl/fi/5epv9w3jtatnw661rw916/39933.pdf?rlkey=3j9rubihwbpjaq50tvf1bwr1d&amp;dl=0" xr:uid="{C9FDB293-2C23-314C-8803-2E354401656D}"/>
    <hyperlink ref="A309" r:id="rId500" display="https://www.dropbox.com/scl/fi/kaknbgex2scgzwbrl5gx7/39934.pdf?rlkey=9g3l5ugwinwq8jn9zt5xvrhhk&amp;dl=0" xr:uid="{34CC0C4A-D67E-1741-9A70-E1BA3D3F10BD}"/>
    <hyperlink ref="A310" r:id="rId501" display="https://www.dropbox.com/scl/fi/u1beevusskfdr1aa6naqx/39935.pdf?rlkey=upnlpyhi2q7niv68yum987ui6&amp;dl=0" xr:uid="{ADC27C41-2625-AA43-A36A-DAAA633FF044}"/>
    <hyperlink ref="A311" r:id="rId502" display="https://www.dropbox.com/scl/fi/nsdpxwvmo6ccsaou7q0gq/39936.pdf?rlkey=oxnmmpsehu99di6iopa8xikq1&amp;dl=0" xr:uid="{38B82DC7-60C2-C949-909C-A6B3AF0755A2}"/>
    <hyperlink ref="A312" r:id="rId503" display="https://www.dropbox.com/scl/fi/u7a3uzuks94s4sw2lw8j3/39937.pdf?rlkey=d4f1hlzsz7wyl31wk093f9vly&amp;dl=0" xr:uid="{0B74700D-E15E-744B-9244-17FC7303791E}"/>
    <hyperlink ref="A313" r:id="rId504" display="https://www.dropbox.com/scl/fi/hn0bc7e7y1p1trrhvj09i/39938.pdf?rlkey=0zf4gj19nn8trnvrmcumvuvsg&amp;dl=0" xr:uid="{87451E73-54D5-7045-9F99-47C416A32804}"/>
    <hyperlink ref="A314" r:id="rId505" display="https://www.dropbox.com/scl/fi/kh649lxeyt9opkgwg7z1b/39940.pdf?rlkey=7zzwerwq82g7qj0op6343ivou&amp;dl=0" xr:uid="{6835C9FE-2743-8445-B759-D94143398B61}"/>
    <hyperlink ref="A315" r:id="rId506" display="https://www.dropbox.com/scl/fi/cgc07qoyfii1ax20nsuzx/39941.pdf?rlkey=v5qf0u4bwz8cc06di2yw6b1db&amp;dl=0" xr:uid="{D60ECFFC-BDCE-E54A-8B64-6FF27EC421E1}"/>
    <hyperlink ref="A316" r:id="rId507" display="https://www.dropbox.com/scl/fi/m89vi63rptv5amyrj8ovt/39942.pdf?rlkey=5kf4em8vucygavrdfjflvzstr&amp;dl=0" xr:uid="{7C6D031F-FE06-4A46-9E69-0B5976703B7D}"/>
    <hyperlink ref="A317" r:id="rId508" display="https://www.dropbox.com/scl/fi/ibile9r4aq54kr3eb7azm/39943.pdf?rlkey=qrbo87tw12conaftq0k7makgx&amp;dl=0" xr:uid="{1F10FE93-753C-F04C-830D-82C8ABC0C824}"/>
    <hyperlink ref="A318" r:id="rId509" display="https://www.dropbox.com/scl/fi/javeovxch5rajxu8qlhvr/39944.pdf?rlkey=2qf32koyidhx6oy5mya99eg71&amp;dl=0" xr:uid="{94D352F5-A352-974D-8A63-C3562FA81FA6}"/>
    <hyperlink ref="A319" r:id="rId510" display="https://www.dropbox.com/scl/fi/jp16u8v6ecz47ins28ckl/39953.pdf?rlkey=hqkxy3njn01sq6zjagt57fmvr&amp;dl=0" xr:uid="{E40D5EDB-BEB0-B047-BEF2-07DA09F8049E}"/>
    <hyperlink ref="A320" r:id="rId511" display="https://www.dropbox.com/scl/fi/il8r7ciep1x3cipsxvuee/39954.pdf?rlkey=sz9lbpdfx2m5b7gzdmgvne0xn&amp;dl=0" xr:uid="{04CB60E4-A0ED-0547-92E7-0075BD9A00D3}"/>
    <hyperlink ref="A321" r:id="rId512" display="https://www.dropbox.com/scl/fi/4ouqf6frca8bcu9d9zt49/39962.pdf?rlkey=vpsqpcddmcelhjd52n8qz997d&amp;dl=0" xr:uid="{DE034F50-74A1-D946-A32B-E21CE8DA3956}"/>
    <hyperlink ref="A322" r:id="rId513" display="https://www.dropbox.com/scl/fi/95l2lwt1hxqtzhqe2wq1p/39963.pdf?rlkey=6jm5g4md8xs3fpzghtofguzze&amp;dl=0" xr:uid="{BA96B79F-56D9-6842-B133-D767AE3DB48D}"/>
    <hyperlink ref="A323" r:id="rId514" display="https://www.dropbox.com/scl/fi/opp8km9kpkvlslfwwhugl/39968.pdf?rlkey=76s2ekomy7g9iwj7rrfy7acwc&amp;dl=0" xr:uid="{A50979F7-3190-9747-8409-77A6528019B0}"/>
    <hyperlink ref="A324" r:id="rId515" display="https://www.dropbox.com/scl/fi/vcys3cxi3c3ghd63qwd9y/39969.pdf?rlkey=fliuzg51xuzyhyx7v5518p21g&amp;dl=0" xr:uid="{3C08D28C-5650-AF4B-996F-D17AEEFC3D2F}"/>
    <hyperlink ref="A325" r:id="rId516" display="https://www.dropbox.com/scl/fi/oo5ubo8qfr70w8bstkznq/39970.pdf?rlkey=vicc23uk52wuods07uhcpj756&amp;dl=0" xr:uid="{7C21F3A8-6CF3-ED4A-9F88-DC0D25A1A1CA}"/>
    <hyperlink ref="A326" r:id="rId517" display="https://www.dropbox.com/scl/fi/ng2w5hr34v7d6behirzge/39971.pdf?rlkey=ackc4f32swg2hbh0otryllt43&amp;dl=0" xr:uid="{4366EC14-D3C9-B04A-9F78-02A2F38244ED}"/>
    <hyperlink ref="A327" r:id="rId518" display="https://www.dropbox.com/scl/fi/1ur4gjr44ghibx17f04vy/39973.pdf?rlkey=fmjwjnxxdh3p4z8yncf9bsonr&amp;dl=0" xr:uid="{7B89A276-CD7F-4F40-ABF5-12464EA6FC31}"/>
    <hyperlink ref="A328" r:id="rId519" display="https://www.dropbox.com/scl/fi/ck8app5jvlmlckrh40qvp/39974.pdf?rlkey=6un7gn17dpkbfge67yhbyioqm&amp;dl=0" xr:uid="{578F996F-ADBB-4F48-9527-25A84F663FC5}"/>
    <hyperlink ref="A329" r:id="rId520" display="https://www.dropbox.com/scl/fi/ljmf81pxokmsxks2ifxok/39975.pdf?rlkey=wlgehx7qar70waqnjhqdt5050&amp;dl=0" xr:uid="{A490FF9C-B56A-E146-A659-0F5144946DDC}"/>
    <hyperlink ref="A330" r:id="rId521" display="https://www.dropbox.com/scl/fi/w8p7q2q7axoubf4brc5t8/39976.pdf?rlkey=byj4tjs1g39f314fpbfp04wzj&amp;dl=0" xr:uid="{1716FA96-993F-A446-8EC0-95E784FB96D9}"/>
    <hyperlink ref="A331" r:id="rId522" display="https://www.dropbox.com/scl/fi/rmm16hwr0re72rwovl2hd/39979.pdf?rlkey=fuy3dxme8irnsdl5zfnnztm1u&amp;dl=0" xr:uid="{0734FD39-8DE2-E94C-911C-35D8E26EEDC6}"/>
    <hyperlink ref="A332" r:id="rId523" display="https://www.dropbox.com/scl/fi/tjx9zbq25sue5e4njib64/39980.pdf?rlkey=fwxfkw521o9b7s93avlttkaua&amp;dl=0" xr:uid="{950C9D56-4EC1-524A-BDF1-6E81EAAA5038}"/>
    <hyperlink ref="A333" r:id="rId524" display="https://www.dropbox.com/scl/fi/smt1aiw29jd7t2g96kmui/39981.pdf?rlkey=rg7wyrds0qg52ktw1caikwdmc&amp;dl=0" xr:uid="{4B3B130B-F966-CE46-A958-64BF2F554246}"/>
    <hyperlink ref="A334" r:id="rId525" display="https://www.dropbox.com/scl/fi/3a2cg3j11yhvaaw2h3met/39982.pdf?rlkey=izuufspu56osp4dl3is2lmmks&amp;dl=0" xr:uid="{96AEC48D-2236-3943-8848-36494A9F557E}"/>
    <hyperlink ref="A335" r:id="rId526" display="https://www.dropbox.com/scl/fi/kql2yfvs9c4qjszvo81pa/39983.pdf?rlkey=4zanlim6t9cv7yldacysytnws&amp;dl=0" xr:uid="{9635D3DC-375B-2C4B-949F-1CC411CC4EFA}"/>
    <hyperlink ref="A336" r:id="rId527" display="https://www.dropbox.com/scl/fi/t820jas60nc15la27zere/39984.pdf?rlkey=cbb434mvwog2i5ltn2pa5r48y&amp;dl=0" xr:uid="{C2EE471A-6D39-F446-85D7-F1B8C73D6B50}"/>
    <hyperlink ref="A337" r:id="rId528" display="https://www.dropbox.com/scl/fi/y0m4y725nrw55pmabr3un/39987.pdf?rlkey=z33xfdh2kuyozip9m3h2zl8xe&amp;dl=0" xr:uid="{26A7884E-6BD5-074C-B0A9-4A4DB94AF010}"/>
    <hyperlink ref="A338" r:id="rId529" display="https://www.dropbox.com/scl/fi/2cwofsmp0rjuo6090etya/39989.pdf?rlkey=ta0vzt4k2tdhj38gixl5vu6i1&amp;dl=0" xr:uid="{93C5EB05-0DA1-3B45-974A-8EFED023CD77}"/>
    <hyperlink ref="A339" r:id="rId530" display="https://www.dropbox.com/scl/fi/ij8ongu6z6o8ene41fbmg/39990.pdf?rlkey=58lgbf0j851oxhut2cki9zmh3&amp;dl=0" xr:uid="{E08756D1-30AF-CC49-A000-E1FA477FAD68}"/>
    <hyperlink ref="A340" r:id="rId531" display="https://www.dropbox.com/scl/fi/1wv22f3m7gofbttzjk9qs/39998.pdf?rlkey=gxjevoiwtjrfxiaj3ksfgilkc&amp;dl=0" xr:uid="{CCC185E8-D869-994E-851B-58D898B77356}"/>
    <hyperlink ref="A341" r:id="rId532" display="https://www.dropbox.com/scl/fi/9qyw3jcfem2opsawrx9ee/39999.pdf?rlkey=ksumjy1ex3crx9erfyzxgmtqs&amp;dl=0" xr:uid="{8A03212C-B3BC-154A-A50C-162EBB1CE301}"/>
    <hyperlink ref="A342" r:id="rId533" display="https://www.dropbox.com/scl/fi/taa1vghchdn4fzuaxtq00/40000.pdf?rlkey=xafwm2z2jvmop9odydj0xdquz&amp;dl=0" xr:uid="{2B0C7C83-995E-A145-A5A1-BA3CFBD13ACA}"/>
    <hyperlink ref="A343" r:id="rId534" display="https://www.dropbox.com/scl/fi/r0amhqzutsvu1bzgatqb2/40003.pdf?rlkey=f31g6xyvcx15ez03lg3rq984x&amp;dl=0" xr:uid="{24505A77-D675-A846-BBF3-590A1AB47347}"/>
    <hyperlink ref="A344" r:id="rId535" display="https://www.dropbox.com/scl/fi/l5mnl9h82hg23yjdweeq7/40007.pdf?rlkey=8llyco6b4t9147hs4c4j0zbt7&amp;dl=0" xr:uid="{C2B6E58B-AEEB-E04E-957D-86E03D3A8512}"/>
    <hyperlink ref="A345" r:id="rId536" display="https://www.dropbox.com/scl/fi/srn59mvi7ene8uu8ywa1k/40011.pdf?rlkey=j3b3kx3vtdy127eysvl06ipig&amp;dl=0" xr:uid="{701B1114-4C57-9446-BD04-741991D7A94B}"/>
    <hyperlink ref="A346" r:id="rId537" display="https://www.dropbox.com/scl/fi/3dkl7va1vpan017pbm0q2/40012.pdf?rlkey=z5ikjhw9zm7410smaexmlmzee&amp;dl=0" xr:uid="{F9C5B83C-DC0A-044C-B7B5-9259B7376FB1}"/>
    <hyperlink ref="A347" r:id="rId538" display="https://www.dropbox.com/scl/fi/4737m95mwwd4w1opslujt/40014.pdf?rlkey=z7ove2bzmzsjbn5gsoskv3hti&amp;dl=0" xr:uid="{ECE8D94C-5B9A-1346-A0F8-2565DA67C350}"/>
    <hyperlink ref="A348" r:id="rId539" display="https://www.dropbox.com/scl/fi/6cqi75y3qas65jypc2x38/40015.pdf?rlkey=goxqho0vtn7owoub135z95647&amp;dl=0" xr:uid="{A223306C-35BE-1F41-9CDF-A2E3B18F875C}"/>
    <hyperlink ref="A349" r:id="rId540" display="https://www.dropbox.com/scl/fi/5kzoju98e7tm43mku5n44/40016.pdf?rlkey=tlcngutos2fsqyt8dvabmseen&amp;dl=0" xr:uid="{F7DA6C52-63B1-844A-9B43-AD286E1E8854}"/>
    <hyperlink ref="A350" r:id="rId541" display="https://www.dropbox.com/scl/fi/b8iq43psqhf4vyyzjg7v2/40017.pdf?rlkey=iekvo30h3e9kk3t8394j67yza&amp;dl=0" xr:uid="{CE222850-2970-BC48-B7B5-8DB6828F1A59}"/>
    <hyperlink ref="A351" r:id="rId542" display="https://www.dropbox.com/scl/fi/28qbn46cda3eyqoioj1t9/40018.pdf?rlkey=4smejnef0yru0ko0yj5ryfyk3&amp;dl=0" xr:uid="{1A22DC58-65AF-6047-B4AA-5E51643EF01B}"/>
    <hyperlink ref="A352" r:id="rId543" display="https://www.dropbox.com/scl/fi/z3oksyykta9sxtbnevg1h/40019.pdf?rlkey=0nyrvfuqfhl030sjn768zvfm7&amp;dl=0" xr:uid="{24759FC0-342B-6D49-AA17-E2B7B55FA9D5}"/>
    <hyperlink ref="A353" r:id="rId544" display="https://www.dropbox.com/scl/fi/5aazll6jf88w9agmov9yo/40020.pdf?rlkey=aon3bhb3hbuzgssp640lcmij2&amp;dl=0" xr:uid="{B2F78DCF-C9D5-9847-A92B-3CB118AA2677}"/>
    <hyperlink ref="A354" r:id="rId545" display="https://www.dropbox.com/scl/fi/hq2bcog9iy90dmjmqhqg6/40021.pdf?rlkey=p3a481xgcm6xbmz8y70dz7flr&amp;dl=0" xr:uid="{5719F766-99D0-8E43-BAD4-78A92608CF39}"/>
    <hyperlink ref="A356" r:id="rId546" display="https://www.dropbox.com/scl/fi/2dhm7movxmn3rgbbqas7j/40025.pdf?rlkey=j3rv5jqmg6f9di27v29qgttpk&amp;dl=0" xr:uid="{6C18138D-782E-EA4B-ABE0-39B4019EC701}"/>
    <hyperlink ref="A357" r:id="rId547" display="https://www.dropbox.com/scl/fi/335rwyqogq4aspvv1x7m0/40028.pdf?rlkey=1xoeaqoeaoaycrr1dki97953p&amp;dl=0" xr:uid="{64FBC3C7-1212-724F-A0ED-C365D27A4AD0}"/>
    <hyperlink ref="A358" r:id="rId548" display="https://www.dropbox.com/scl/fi/nwe0zprvurxm6m6oy89u5/40029.pdf?rlkey=1zuk877vpj5iw0fi7jq89ks75&amp;dl=0" xr:uid="{4C0E26FB-81A3-7D49-AACB-DA727C54CB6F}"/>
    <hyperlink ref="A359" r:id="rId549" display="https://www.dropbox.com/scl/fi/5c8qlkwl4cibi99kxvr2k/40030.pdf?rlkey=uvmod3insr0ugd0u3mr3dm12w&amp;dl=0" xr:uid="{17B9E1CF-17CC-B34E-ADD1-3F0AED9E91BC}"/>
    <hyperlink ref="A360" r:id="rId550" display="https://www.dropbox.com/scl/fi/5rs38mbkbic06ut24xv66/40031.pdf?rlkey=r1ipfa51ww9q3r7ob6flkrs4k&amp;dl=0" xr:uid="{297147B7-4813-374C-9C27-E3ED85065774}"/>
    <hyperlink ref="A361" r:id="rId551" display="https://www.dropbox.com/scl/fi/1r6w5wgbqtt5au4tmbroz/40033.pdf?rlkey=a21moq6gwq1ovfspeu93k9679&amp;dl=0" xr:uid="{EBBA2B81-B7D8-DC43-B50E-4920A859F4FB}"/>
    <hyperlink ref="A362" r:id="rId552" display="https://www.dropbox.com/scl/fi/q8bnvfoq4vz31z2mgddfq/40039.pdf?rlkey=dei55mu6z507sc392jnj9u3ig&amp;dl=0" xr:uid="{381E1A8C-37DC-0E44-91DF-3C74248F1CD1}"/>
    <hyperlink ref="A363" r:id="rId553" display="https://www.dropbox.com/scl/fi/li3kdp3hxvbfr8w15q94o/40040.pdf?rlkey=amc2egohf8alrmk10wvz2qsjp&amp;dl=0" xr:uid="{98436C66-F36D-8243-9E47-2A9511834FAC}"/>
    <hyperlink ref="A364" r:id="rId554" display="https://www.dropbox.com/scl/fi/cl0f63lzh5rw904l82zck/40045.pdf?rlkey=kxy2i0m86ji51rl7isdkpk6bn&amp;dl=0" xr:uid="{E46D1933-E87F-0B43-BA6B-D682B03BF070}"/>
    <hyperlink ref="A365" r:id="rId555" display="https://www.dropbox.com/scl/fi/t5rotkxw4hevwslb591qo/40046.pdf?rlkey=2bsuo63w3l9qlls2f75x92onj&amp;dl=0" xr:uid="{2F8B1A03-8D51-024C-9F98-DB1008C9908B}"/>
    <hyperlink ref="A366" r:id="rId556" display="https://www.dropbox.com/scl/fi/5tikkh9wfuhchbbtujuz2/40053.pdf?rlkey=id98v0z6rp7oj48a45kdke02k&amp;dl=0" xr:uid="{61118172-E56D-144B-950D-5F83DEEB1801}"/>
    <hyperlink ref="A367" r:id="rId557" display="https://www.dropbox.com/scl/fi/rg51xft4ii6qx1exokgbc/40054.pdf?rlkey=5eo8uny4s5p3k2se7q3j3j08q&amp;dl=0" xr:uid="{54701EE4-48AA-9146-9501-47FAE43A3F6F}"/>
    <hyperlink ref="A368" r:id="rId558" display="https://www.dropbox.com/scl/fi/hqvsutz85d3fam9eiz7jk/40063.pdf?rlkey=4rg0bnwknmn9461140f5sjutj&amp;dl=0" xr:uid="{7718B6A5-50D6-0949-8F14-0505B50A97E0}"/>
    <hyperlink ref="A369" r:id="rId559" display="https://www.dropbox.com/scl/fi/i5vzo97pljgs6rp1l7ci1/40068.pdf?rlkey=2eoaweaa6c366diwec895qmsa&amp;dl=0" xr:uid="{9E8CB3BD-64E1-EF4C-9975-6FABEFD40344}"/>
    <hyperlink ref="A370" r:id="rId560" display="https://www.dropbox.com/scl/fi/9d56w0gf5xgxp318j90vw/40069.pdf?rlkey=dasnuj69kni4vcl123r8qkewx&amp;dl=0" xr:uid="{F0EF9D98-6CA0-DC4E-9A80-8F7383901671}"/>
    <hyperlink ref="A371" r:id="rId561" display="https://www.dropbox.com/scl/fi/7c8qkqfopl447ik6sqag9/40070.pdf?rlkey=fbznudrwk44j3degb4nyuhk08&amp;dl=0" xr:uid="{A4A5D84F-90FD-B64B-A9E7-5AE107548417}"/>
    <hyperlink ref="A372" r:id="rId562" display="https://www.dropbox.com/scl/fi/uyx9labc27p0s32xrbq36/40071.pdf?rlkey=82thenxdgz5dgywml7v6av4xb&amp;dl=0" xr:uid="{7841007D-8570-8647-A8D3-2049B1F70771}"/>
    <hyperlink ref="A373" r:id="rId563" display="https://www.dropbox.com/scl/fi/m7w7fqd5who6u4hqitqsg/40073.pdf?rlkey=vq7s30qx322n2k7antwoljrxf&amp;dl=0" xr:uid="{863815A0-C256-464C-8430-EE4797BBD420}"/>
    <hyperlink ref="A374" r:id="rId564" display="https://www.dropbox.com/scl/fi/ciail3xvjn4cln5uorfgr/40074.pdf?rlkey=aobrhhnt0f0hgeomkugm0mgr2&amp;dl=0" xr:uid="{D93592A4-F0C1-CB44-A3C0-3BB60DA80023}"/>
    <hyperlink ref="A375" r:id="rId565" display="https://www.dropbox.com/scl/fi/aswsw7y9a58yrlygxl909/40077.pdf?rlkey=zoinfesgnmvk29q98e7yfn43o&amp;dl=0" xr:uid="{73843639-A928-7844-B346-08AC7CB5A0F1}"/>
    <hyperlink ref="A376" r:id="rId566" display="https://www.dropbox.com/scl/fi/q3sckqne4s827pptjw8p9/40078.pdf?rlkey=zs7dazacfmz1h8y2us1dl4r88&amp;dl=0" xr:uid="{CCF805BE-873E-5A49-A688-FEB11B13C0CD}"/>
    <hyperlink ref="A377" r:id="rId567" display="https://www.dropbox.com/scl/fi/efqyz1doxfw002e1mbfnv/40080.pdf?rlkey=y8c9h2a7fh7il8q1b1nw1fo5h&amp;dl=0" xr:uid="{5458F782-DA48-0049-980C-5EC6998333F8}"/>
    <hyperlink ref="A378" r:id="rId568" display="https://www.dropbox.com/scl/fi/4xgtg2bti3pncugauqpk6/40081.pdf?rlkey=60y1egr97bia7usjnn5zslhxk&amp;dl=0" xr:uid="{D4338944-5B31-204E-8C5A-3587C947243D}"/>
    <hyperlink ref="A379" r:id="rId569" display="https://www.dropbox.com/scl/fi/dhoe63d2j70vr56e52lwi/40083.pdf?rlkey=vedt90mteskdrurq8zwo641pj&amp;dl=0" xr:uid="{F2AA066C-2381-1345-A27A-68FB3B378C90}"/>
    <hyperlink ref="A380" r:id="rId570" display="https://www.dropbox.com/scl/fi/8zexth77k07wjrqfq8yk5/40084.pdf?rlkey=ahw9pg8dfg4kq47n4l8jgim6u&amp;dl=0" xr:uid="{F5BB640A-483A-5348-B6C3-A725686D9A86}"/>
    <hyperlink ref="A381" r:id="rId571" display="https://www.dropbox.com/scl/fi/u9j5novdnv52ejtgxycm2/40085.pdf?rlkey=k9fluu61on05vuolznl67a3qd&amp;dl=0" xr:uid="{3A4C1FB7-97BE-1543-8D45-983A32938D72}"/>
    <hyperlink ref="A382" r:id="rId572" display="https://www.dropbox.com/scl/fi/4qh897ignugm8ojco38ib/40086.pdf?rlkey=e9lr3t1wx5yia1302a4ay818a&amp;dl=0" xr:uid="{61309094-F4D9-A540-83C9-5B93381DDC30}"/>
    <hyperlink ref="A383" r:id="rId573" display="https://www.dropbox.com/scl/fi/ptfef4f4hqxb59wf0wacb/40087.pdf?rlkey=jr7d75cv88x4on6u4915en10u&amp;dl=0" xr:uid="{58B24C47-6D25-204F-8DE7-DC88751C686A}"/>
    <hyperlink ref="A384" r:id="rId574" display="https://www.dropbox.com/scl/fi/khbn68e3z1tcu8pv5afud/40088.pdf?rlkey=ru90m7hsqwameesb8m85bmse9&amp;dl=0" xr:uid="{08951945-F90E-BC4C-804F-B30CBB980D9D}"/>
    <hyperlink ref="A385" r:id="rId575" display="https://www.dropbox.com/scl/fi/234d2mypse7iqzj6nashh/40089.pdf?rlkey=lqu2ju4nkdnqdimayzdl5o7vy&amp;dl=0" xr:uid="{07297A7A-2116-F84F-B030-E24FCA7C51C6}"/>
    <hyperlink ref="A386" r:id="rId576" display="https://www.dropbox.com/scl/fi/sva1cq29qyh2gxdptr4k1/40090.pdf?rlkey=98t2fb7751iu16zlrga5rlxy2&amp;dl=0" xr:uid="{2D6C050B-1B74-C140-8F32-06C401DBA885}"/>
    <hyperlink ref="A387" r:id="rId577" display="https://www.dropbox.com/scl/fi/g09wq9f6931d2q06lu5jl/40092.pdf?rlkey=fkhcdg9t8fablmfkx3cx6ply6&amp;dl=0" xr:uid="{BD179E78-8EA8-5D43-A7B7-82AB66D259EB}"/>
    <hyperlink ref="A388" r:id="rId578" display="https://www.dropbox.com/scl/fi/jjarzr57953vvj8xdq46u/40093.pdf?rlkey=gp30gfcu6atuedx8ws37qojqh&amp;dl=0" xr:uid="{4FACA191-BA61-4D49-9C61-6ACBAE2EF89E}"/>
    <hyperlink ref="A389" r:id="rId579" display="https://www.dropbox.com/scl/fi/x95mwiksl7s2sgj3wausj/40094.pdf?rlkey=3kn61tsgjdxi054fm2tbvnjbm&amp;dl=0" xr:uid="{0928DF5B-9C55-424D-9E4F-3C7A3D335B34}"/>
    <hyperlink ref="A390" r:id="rId580" display="https://www.dropbox.com/scl/fi/5i1ka9hfc6du8wlt4n416/40096.pdf?rlkey=o217ly66lfmf38qnckqmeeu15&amp;dl=0" xr:uid="{4ACABD5F-B073-DA45-A7FF-9FFD493F98D0}"/>
    <hyperlink ref="A391" r:id="rId581" display="https://www.dropbox.com/scl/fi/bngqo40ultcj15npxc1zn/40097.pdf?rlkey=jm2fbgrnujyqfvlmgixyzmq4d&amp;dl=0" xr:uid="{C9BC3B75-8875-6346-9173-A45A9DD662B3}"/>
    <hyperlink ref="A392" r:id="rId582" display="https://www.dropbox.com/scl/fi/28lty2nrer56zbdpeabfh/40099.pdf?rlkey=vmrkm2aatwmmzwxerw6foa9sp&amp;dl=0" xr:uid="{5C56E658-E43F-3444-A20D-88A7CEA41414}"/>
    <hyperlink ref="A393" r:id="rId583" display="https://www.dropbox.com/scl/fi/owf8or0vanez25jt4m8ho/40100.pdf?rlkey=9hisry8hprgcxfxuwr45wuccn&amp;dl=0" xr:uid="{306C61CD-DF1E-4143-A63A-7041D9DE0B60}"/>
    <hyperlink ref="A394" r:id="rId584" display="https://www.dropbox.com/scl/fi/vtiuatj97pyrm66s8dz84/40102.pdf?rlkey=cxa17xrcqbffyo4o22o59juff&amp;dl=0" xr:uid="{29E28799-EAC3-8644-8CA5-9626383E04FA}"/>
    <hyperlink ref="A395" r:id="rId585" display="https://www.dropbox.com/scl/fi/wsaz9nt9rej7vurzbye5v/40105.pdf?rlkey=cndqz72utyvhvemtqpvfjux8e&amp;dl=0" xr:uid="{5CBF5B86-6C29-FC44-8DAA-48847D319A45}"/>
    <hyperlink ref="A396" r:id="rId586" display="https://www.dropbox.com/scl/fi/fzc4wimao9rp90rt2r2a8/40106.pdf?rlkey=lks65glyhnbtucwlzn24e0op9&amp;dl=0" xr:uid="{9DD3206E-AEBE-5747-A965-F3DBE2469FDB}"/>
    <hyperlink ref="A397" r:id="rId587" display="https://www.dropbox.com/scl/fi/ljxfkmfkgia9da71xgoya/40107.pdf?rlkey=zb3uje7yck1lk1jlalix3ae9r&amp;dl=0" xr:uid="{174D4A46-654E-E942-97BA-E6545C008282}"/>
    <hyperlink ref="A398" r:id="rId588" display="https://www.dropbox.com/scl/fi/np1u7z6bygf4ruquvqyqj/40108.pdf?rlkey=diu4zvnujmg0foc8qal4l9oiw&amp;dl=0" xr:uid="{8DD1ED01-D741-284A-9C85-318AD4FDCB96}"/>
    <hyperlink ref="A399" r:id="rId589" display="https://www.dropbox.com/scl/fi/km9svthfetdqffsg03cip/40109.pdf?rlkey=lcn9keb74cw3i0bzgazntzbmm&amp;dl=0" xr:uid="{5A06BD68-E61D-9C48-8431-EF698FE9C50C}"/>
    <hyperlink ref="A400" r:id="rId590" display="https://www.dropbox.com/scl/fi/7c75af85wpo3opodpacwd/40114.pdf?rlkey=hrdwly5t3wl83b7m2c3o1i306&amp;dl=0" xr:uid="{288A5565-90A6-A04D-8F27-D0AE845D1EDA}"/>
    <hyperlink ref="A401" r:id="rId591" display="https://www.dropbox.com/scl/fi/uz4ksd3mk02wgdn4xla48/40115.pdf?rlkey=uzy2nmtarqbuu0zmgzidb7c95&amp;dl=0" xr:uid="{CB917508-2852-8B44-9CD9-72D1C2180D08}"/>
    <hyperlink ref="A402" r:id="rId592" display="https://www.dropbox.com/scl/fi/t1774fg6ggngc9lpenkqh/40116.pdf?rlkey=awfqh3qb4nujbhiqy7mkyo74g&amp;dl=0" xr:uid="{0A9F7C83-9446-5041-8680-A10725141513}"/>
    <hyperlink ref="A403" r:id="rId593" display="https://www.dropbox.com/scl/fi/dvti20cz5xegcy26ae0e4/40117.pdf?rlkey=oc6gr3ihcbwsqszognw7q8nli&amp;dl=0" xr:uid="{9918460E-0DE5-CE46-99CE-DAAD3465C1CD}"/>
    <hyperlink ref="A404" r:id="rId594" display="https://www.dropbox.com/scl/fi/7run0fr86ge9w9utcp5db/40118.pdf?rlkey=so8kjdvc7cyy9iw23gt44tkp4&amp;dl=0" xr:uid="{B44438E8-07B0-DF47-B085-BC0C3C1E75BE}"/>
    <hyperlink ref="A405" r:id="rId595" display="https://www.dropbox.com/scl/fi/wjmejxgztcc9pfi6umqts/40133.pdf?rlkey=8aeu2835thecg3umlqo1tj39y&amp;dl=0" xr:uid="{82D8C501-F9F8-824F-893E-36BADC95EC8E}"/>
    <hyperlink ref="A406" r:id="rId596" display="https://www.dropbox.com/scl/fi/5g8hokg0pjzlcvgl337i3/40134.pdf?rlkey=gtml0vborwb5854gff9bn3e1f&amp;dl=0" xr:uid="{7E0072B7-E38B-A343-A9BA-6766560D949F}"/>
    <hyperlink ref="A407" r:id="rId597" display="https://www.dropbox.com/scl/fi/ecm01lfy1naazlca7mj55/40135.pdf?rlkey=i18ys7vghl2vj0sx63m6hwhy8&amp;dl=0" xr:uid="{E3E31854-4CD1-0D47-A603-4CB5C5E9B702}"/>
    <hyperlink ref="A408" r:id="rId598" display="https://www.dropbox.com/scl/fi/ij8eam5hgwomj520n9muu/40136.pdf?rlkey=czvo9hbzcbs54btc6e874b7i3&amp;dl=0" xr:uid="{2F07FE12-1E66-C248-A5F2-5BB9A535699C}"/>
    <hyperlink ref="A409" r:id="rId599" display="https://www.dropbox.com/scl/fi/km0frwi021i5fxvd38fzu/40137.pdf?rlkey=sojprgla07u00lsqp7mfmkv7o&amp;dl=0" xr:uid="{9FEA5476-2884-9A40-9F26-07B4573D68EF}"/>
    <hyperlink ref="A410" r:id="rId600" display="https://www.dropbox.com/scl/fi/5usvp81u4jeg5cselxzg9/40138.pdf?rlkey=k6nvb1xfxx7ce1czlcvcnh8kc&amp;dl=0" xr:uid="{04171291-459B-3C4D-A1F4-CE66963F490D}"/>
    <hyperlink ref="A411" r:id="rId601" display="https://www.dropbox.com/scl/fi/5kfvo3xa3uzj1qls1gokj/40139.pdf?rlkey=n1defufi0tj1p8dyxm9r1g7d4&amp;dl=0" xr:uid="{F533EAEE-DC2E-C94B-9B3F-F90B20749E84}"/>
    <hyperlink ref="A412" r:id="rId602" display="https://www.dropbox.com/scl/fi/opo4of70tarxgvmjo17ao/40140.pdf?rlkey=99bk5bndc42xipz3npn8ly9py&amp;dl=0" xr:uid="{CC03E8A7-8A70-7740-B5F7-9C2DF369AC60}"/>
    <hyperlink ref="A414" r:id="rId603" display="https://www.dropbox.com/scl/fi/xdoo0ngfye7kxuz3j46bo/40142.pdf?rlkey=52zewf3cnt40xw7l4oo7pk6vx&amp;dl=0" xr:uid="{1DA48930-52CF-E547-A5FE-CAC967B9096F}"/>
    <hyperlink ref="A415" r:id="rId604" display="https://www.dropbox.com/scl/fi/wrrjn73qajqho60tk1ihq/40143.pdf?rlkey=069kefe6cuw0801ne0n8o2xzt&amp;dl=0" xr:uid="{18FDCD22-AA0C-D248-895B-78B6749C308A}"/>
    <hyperlink ref="A416" r:id="rId605" display="https://www.dropbox.com/scl/fi/8sr89kn3bn0zuld82v7jn/40146.pdf?rlkey=7c8ej979iepkgpt4kr66z4yfp&amp;dl=0" xr:uid="{D0DD30A9-246E-D44B-BDB0-7B60AB840397}"/>
    <hyperlink ref="A417" r:id="rId606" display="https://www.dropbox.com/scl/fi/l58af8st9csoqzf7bu88k/40147.pdf?rlkey=u9xv3gcwhrjnjvgolxwocr17i&amp;dl=0" xr:uid="{6BEBB11C-ABEB-1D49-A844-DFDDEFF6DCCC}"/>
    <hyperlink ref="A418" r:id="rId607" display="https://www.dropbox.com/scl/fi/9wvy9hwqku8snh04u5g9s/40148.pdf?rlkey=g7y56hxkwtnzrdn5a2scdu8dp&amp;dl=0" xr:uid="{339BF9F7-C44E-CD46-B618-A38F2021BCD7}"/>
    <hyperlink ref="A419" r:id="rId608" display="https://www.dropbox.com/scl/fi/yocc5ml4vgglskp6xpscc/40149.pdf?rlkey=net97co5qjdovn5twu1fugw62&amp;dl=0" xr:uid="{E7620D39-4834-3540-BFAA-BDD6549250ED}"/>
    <hyperlink ref="A420" r:id="rId609" display="https://www.dropbox.com/scl/fi/hq9pm5q39rh161933cxie/40150.pdf?rlkey=6it68z07ywoi9x0yz5yiunfg5&amp;dl=0" xr:uid="{9CF707E5-4FF1-2D41-84E2-2ABFE485BD37}"/>
    <hyperlink ref="A421" r:id="rId610" display="https://www.dropbox.com/scl/fi/3v0dxjct5oyll5n7czmh2/40151.pdf?rlkey=kvyoiq5d9f64qcci7redmujqp&amp;dl=0" xr:uid="{472B59BF-FB8C-1542-A3FE-CCD21E05A1C0}"/>
    <hyperlink ref="A422" r:id="rId611" display="https://www.dropbox.com/scl/fi/wurch7fkejftgufrropkd/40153.pdf?rlkey=j6rq7aj9ljx4yj3fxcmo7w9he&amp;dl=0" xr:uid="{5DE5733E-04FA-524B-98CF-9072FB34835E}"/>
    <hyperlink ref="A423" r:id="rId612" display="https://www.dropbox.com/scl/fi/vyuaohu7om5nyqeqa8xsf/40154.pdf?rlkey=1zcaiqwmaigy3vsx7jg3mnrug&amp;dl=0" xr:uid="{8A941D86-205A-684B-BF8C-B74A50A3F459}"/>
    <hyperlink ref="A424" r:id="rId613" display="https://www.dropbox.com/scl/fi/i5b40wflaa1cbfjuad5zo/40157.pdf?rlkey=zgu4ywl2uog62s8d6zueq0fml&amp;dl=0" xr:uid="{C1004850-DB75-2347-ABD4-0614A126F5D5}"/>
    <hyperlink ref="A425" r:id="rId614" display="https://www.dropbox.com/scl/fi/2hknqlj89coegluyrkrtj/40158.pdf?rlkey=q8dfflgsf0e7nyqtkkbldzsej&amp;dl=0" xr:uid="{AB49A50C-F83C-DC4D-AAE3-C4662D8C72A5}"/>
    <hyperlink ref="A426" r:id="rId615" display="https://www.dropbox.com/scl/fi/yte8t79xsx20wyjozr950/40160.pdf?rlkey=xanf5hmb451snz3az1xog16ib&amp;dl=0" xr:uid="{E4CAC394-47E9-304B-AC68-AD3CC53D7284}"/>
    <hyperlink ref="A427" r:id="rId616" display="https://www.dropbox.com/scl/fi/i7xa01ww3bhrdhmr2l0iv/40161.pdf?rlkey=9g16t37e08igsoym89jp3ob17&amp;dl=0" xr:uid="{9F11EE6D-106A-D04F-A9A8-BE32887E0EFA}"/>
    <hyperlink ref="A428" r:id="rId617" display="https://www.dropbox.com/scl/fi/y9rcdkgho5vkvlqav5ytv/40162.pdf?rlkey=zz7r440rslym3tol12g0lnez2&amp;dl=0" xr:uid="{A3D7F4B4-6932-7F4B-9388-B136C3C29E2E}"/>
    <hyperlink ref="A429" r:id="rId618" display="https://www.dropbox.com/scl/fi/qe8rljnyoq8jaovghi816/40164.pdf?rlkey=09fvrvjff6env49y3siz1p1lr&amp;dl=0" xr:uid="{BCAD9598-F070-8746-ACA1-51DCAEBF84F2}"/>
    <hyperlink ref="A430" r:id="rId619" display="https://www.dropbox.com/scl/fi/sgidxaoyntisg8o8pptm8/40167.pdf?rlkey=ofvd24qmky3e9lmflcf7by47e&amp;dl=0" xr:uid="{E5605560-6E07-1243-A53A-1396939F74F0}"/>
    <hyperlink ref="A431" r:id="rId620" display="https://www.dropbox.com/scl/fi/maw8x30n78z3rfs77js21/40168.pdf?rlkey=c3fs6w3f2v2zg968btb8fjdla&amp;dl=0" xr:uid="{B075176D-BAA0-D641-876B-1D5987D1D4FD}"/>
    <hyperlink ref="A432" r:id="rId621" display="https://www.dropbox.com/scl/fi/hfylgcm18iqr0jx1xgoys/40169.pdf?rlkey=zzvawlhilup0axxsu2n5ghg73&amp;dl=0" xr:uid="{4B41D545-77D8-4046-9D24-3DB9BE15A742}"/>
    <hyperlink ref="A433" r:id="rId622" display="https://www.dropbox.com/scl/fi/wzxa93r3qqguaiijyf89d/40170.pdf?rlkey=4xvnntnvvw3xrzdzz0bzmxh8u&amp;dl=0" xr:uid="{2A15C2AB-4219-9F42-8EC7-5CD6367A3FCB}"/>
    <hyperlink ref="A434" r:id="rId623" display="https://www.dropbox.com/scl/fi/jzxthfulnj9g27sro6eyl/40171.pdf?rlkey=z7migoixcsrcl9n4sl36x94pc&amp;dl=0" xr:uid="{5E0046C8-CF9A-BA4F-81A4-4EFB3F9B3DA2}"/>
    <hyperlink ref="A435" r:id="rId624" display="https://www.dropbox.com/scl/fi/lda5cyg6j5vj0jslq81wk/40172.pdf?rlkey=q8aa97vnfdrryy9g249uwgpxe&amp;dl=0" xr:uid="{4C583F82-A68C-AF49-BE44-33F001A91BB5}"/>
    <hyperlink ref="A436" r:id="rId625" display="https://www.dropbox.com/scl/fi/ln7822lasqlblrskz6s1e/40177.pdf?rlkey=h8xnkutn5ddltgoncqe2i8ekj&amp;dl=0" xr:uid="{B16CA81F-C03A-7C4F-8525-35E941162630}"/>
    <hyperlink ref="A437" r:id="rId626" display="https://www.dropbox.com/scl/fi/5v1t39l6h2jrg69frqnhp/40188.pdf?rlkey=b9lyb34psqd6d052vqocvztbx&amp;dl=0" xr:uid="{6DD4B42C-6FC9-A240-ADA8-1C5A773D167D}"/>
    <hyperlink ref="A438" r:id="rId627" display="https://www.dropbox.com/scl/fi/oq5u3gzxza16by01gjk8e/40209.pdf?rlkey=y7tqgx3xcv5rluq56clv3ze6n&amp;dl=0" xr:uid="{78A58834-74B3-144F-8259-070EE598DAD0}"/>
    <hyperlink ref="A439" r:id="rId628" display="https://www.dropbox.com/scl/fi/6ohkrsms7wsf9wrq9ntwf/40210.pdf?rlkey=9xbn39lk7oa8wya3pomb3truf&amp;dl=0" xr:uid="{7D9F96E2-EE03-FE4F-B541-B8546217F515}"/>
    <hyperlink ref="A440" r:id="rId629" display="https://www.dropbox.com/scl/fi/zfilh36m761pd20q8ycf7/40225.pdf?rlkey=nf6oyx2hcdmktj7ycirxo9qps&amp;dl=0" xr:uid="{8BE26CD2-469D-9843-9A0F-1E019896BCF6}"/>
    <hyperlink ref="A441" r:id="rId630" display="https://www.dropbox.com/scl/fi/kg865f8ptg2v7lvqsxpd0/40234.pdf?rlkey=5dixsgenznprvqjgy2m7jul5k&amp;dl=0" xr:uid="{01AC96C7-694B-614A-8C69-CB689FB95410}"/>
    <hyperlink ref="A442" r:id="rId631" display="https://www.dropbox.com/scl/fi/3egw7f8wvuwvxbcw4qibs/40240.pdf?rlkey=kl4l5xvo126amel27ihsxqbfw&amp;dl=0" xr:uid="{36FD06BD-D4AC-444E-9B2A-22477F4685D2}"/>
    <hyperlink ref="A443" r:id="rId632" display="https://www.dropbox.com/scl/fi/cazited9rvljwy1z8t1d2/40244.pdf?rlkey=k8t750actqi3by4oexfglc0hr&amp;dl=0" xr:uid="{B366A2F3-6318-7F42-A088-4149CF351678}"/>
    <hyperlink ref="A444" r:id="rId633" display="https://www.dropbox.com/scl/fi/p6llm34iy7zn2c2b9ok92/40245.pdf?rlkey=jcjds18t21q8bgkregerlonep&amp;dl=0" xr:uid="{AA0FFCCD-36BF-364E-B8EF-4236F8AC74B9}"/>
    <hyperlink ref="A445" r:id="rId634" display="https://www.dropbox.com/scl/fi/5hselj4k1kz64ntzr9gv5/40246.pdf?rlkey=sqk72ud3poudggpnpqjm0gnlk&amp;dl=0" xr:uid="{54BA6B7A-B90B-E84B-9D42-FDF051FB10DB}"/>
    <hyperlink ref="A446" r:id="rId635" display="https://www.dropbox.com/scl/fi/aziwor0ez8raq09soo8bf/40247.pdf?rlkey=77l2kfps0pu6f8pysav2y5ecg&amp;dl=0" xr:uid="{5462F522-B8E3-6644-B369-47679A5D5EE4}"/>
    <hyperlink ref="A447" r:id="rId636" display="https://www.dropbox.com/scl/fi/kk6yy5gw21m45pafzrayv/40248.pdf?rlkey=qw88hgrnmmqcbsp0p1rvc3pwr&amp;dl=0" xr:uid="{E9060B7A-AB53-634B-8E7F-EE0A4849C41C}"/>
    <hyperlink ref="A448" r:id="rId637" display="https://www.dropbox.com/scl/fi/urlh1epr094e1hu38daxa/40249.pdf?rlkey=651ng4sl7s61ii39frprjtc13&amp;dl=0" xr:uid="{D6A73300-930B-9145-AE8E-80EF30CF5165}"/>
    <hyperlink ref="A449" r:id="rId638" display="https://www.dropbox.com/scl/fi/l8gi94om0h0q22vrizuox/40250.pdf?rlkey=ep1dsp9ltyna2lpw4xwon0x1b&amp;dl=0" xr:uid="{BBD983E5-026C-E942-BF6F-850D546AA170}"/>
    <hyperlink ref="A450" r:id="rId639" display="https://www.dropbox.com/scl/fi/bwhtmj0i3hh7a3b08fplw/40251.pdf?rlkey=kix8afty65igk4t7z16xpqitb&amp;dl=0" xr:uid="{9D33896C-950E-2847-B3B9-357B571E37FA}"/>
    <hyperlink ref="A451" r:id="rId640" display="https://www.dropbox.com/scl/fi/huj8a6td1xswplya0xrdl/40252.pdf?rlkey=e2ghraj24jognwmt0esbcxvzo&amp;dl=0" xr:uid="{8FD7C3B7-FB9C-014A-811C-168E50AC8FDB}"/>
    <hyperlink ref="A452" r:id="rId641" display="https://www.dropbox.com/scl/fi/4xxe9yq7do7w9pc28iluv/40253.pdf?rlkey=f0uf66j9srhq5sxu2iy5khsdz&amp;dl=0" xr:uid="{3DDBCD44-8E95-3844-9BB8-5380FD255A8E}"/>
    <hyperlink ref="A453" r:id="rId642" display="https://www.dropbox.com/scl/fi/fayglpjy75fupoxr24int/40254.pdf?rlkey=q71yq6vzunjo7hyiahzm6awfx&amp;dl=0" xr:uid="{C39A601D-59CC-F74C-AF05-92B533DEDE44}"/>
    <hyperlink ref="A454" r:id="rId643" display="https://www.dropbox.com/scl/fi/m6ivqwf6j1vocakm90e2g/40255.pdf?rlkey=qep4y1bzm8m5h0bkh620wao9l&amp;dl=0" xr:uid="{382D9EAB-851C-8C44-8B57-5A4319CB47A9}"/>
    <hyperlink ref="A455" r:id="rId644" display="https://www.dropbox.com/scl/fi/v7wgwede8azwkv5pbb0xl/40256.pdf?rlkey=cgt7strq5y8sue4o0ef5xb1rj&amp;dl=0" xr:uid="{4B575718-A3C0-1448-9F8B-4BD85626B580}"/>
    <hyperlink ref="A456" r:id="rId645" display="https://www.dropbox.com/scl/fi/etbmr3ugypvdkjdt5sj2c/40257.pdf?rlkey=8uhi0rmjwq5yj8ke5w06o4rjr&amp;dl=0" xr:uid="{E117C506-553D-4341-A551-62D0F4039F2E}"/>
    <hyperlink ref="A457" r:id="rId646" display="https://www.dropbox.com/scl/fi/g3fgaw1pdqlcfeoufsuzz/40258.pdf?rlkey=ouu4wz3drblhaa64huk33i139&amp;dl=0" xr:uid="{60BD2975-49D4-0447-BCB9-62CCD494CAB0}"/>
    <hyperlink ref="A458" r:id="rId647" display="https://www.dropbox.com/scl/fi/nom2fws88r5ujy78s2qk6/40259.pdf?rlkey=3bns7wy3ro79haa2ljtwgwstc&amp;dl=0" xr:uid="{A817844D-B19A-B747-840E-90308B2D5E3B}"/>
    <hyperlink ref="A459" r:id="rId648" display="https://www.dropbox.com/scl/fi/2ooq892fn3s55vxl2nlld/40260.pdf?rlkey=1srg4zqg4bp3ahaowuuhtlw5g&amp;dl=0" xr:uid="{0FB60B93-0590-6049-9051-36D57BE8E555}"/>
    <hyperlink ref="A460" r:id="rId649" display="https://www.dropbox.com/scl/fi/qozp76xh33mple3hrtm53/40261.pdf?rlkey=7du57vsgfuygx4p39ekgeo0ye&amp;dl=0" xr:uid="{06EF2D08-BC9A-BD4A-9838-4A97D99D4EE2}"/>
    <hyperlink ref="A461" r:id="rId650" display="https://www.dropbox.com/scl/fi/onzpgc97zes3sqfh3or17/40262.pdf?rlkey=i0oxofp8mqoda4xorevk838o0&amp;dl=0" xr:uid="{A9E646D7-8202-0344-91D5-58CAD171D617}"/>
    <hyperlink ref="A462" r:id="rId651" display="https://www.dropbox.com/scl/fi/9ayd91t9af2at6c39846u/40263.pdf?rlkey=851i31uzw560xied6aznnuim3&amp;dl=0" xr:uid="{F821C0D3-1209-9D42-9A58-4CF5A1AD1F6E}"/>
    <hyperlink ref="A463" r:id="rId652" display="https://www.dropbox.com/scl/fi/3cqdyvxn1mh2hhzrbbhs1/40265.pdf?rlkey=vmwbh29yb025qh2sf80oo5kjp&amp;dl=0" xr:uid="{8A46380D-6437-4C4F-8D79-9DFA9ED43361}"/>
    <hyperlink ref="A464" r:id="rId653" display="https://www.dropbox.com/scl/fi/k4f0hjkl2p9frr3z8mygg/40267.pdf?rlkey=gyfobw8lx592xv7p5bb23xbh9&amp;dl=0" xr:uid="{0BDBB75A-03C6-EE4A-9A7F-839044F179D3}"/>
    <hyperlink ref="A465" r:id="rId654" display="https://www.dropbox.com/scl/fi/pwc7d8udytyxlvdx6tbmx/40268.pdf?rlkey=io0fp8t8z1u4enp0tifuearw4&amp;dl=0" xr:uid="{7B80A19D-F160-0246-B5CE-782A92DCF681}"/>
    <hyperlink ref="A466" r:id="rId655" display="https://www.dropbox.com/scl/fi/bfvw585yha8gobjx0f2bf/40271.pdf?rlkey=kxpvz2ijpyoos85m4qv7cz5z0&amp;dl=0" xr:uid="{47883DAD-4156-2145-9828-D4A39D28A442}"/>
    <hyperlink ref="A467" r:id="rId656" display="https://www.dropbox.com/scl/fi/pm25r7u60mxsgp4vvv0wf/40272.pdf?rlkey=7puipiblu2sn2if34z89b1kz6&amp;dl=0" xr:uid="{EF8F1DAB-75F0-2C4F-9450-42D9C02D401D}"/>
    <hyperlink ref="A469" r:id="rId657" display="https://www.dropbox.com/scl/fi/jqcdq1b9l0qkp6n7n9x1d/40274.pdf?rlkey=0oyrt8z8wqsti5dvp4925mimv&amp;dl=0" xr:uid="{B70AE104-FC87-3148-9A1A-8C7F805C5922}"/>
    <hyperlink ref="A470" r:id="rId658" display="https://www.dropbox.com/scl/fi/kd0xvye2p4feayzxq06wm/40282.pdf?rlkey=h5gwmoto605ot3hie7ifcue4g&amp;dl=0" xr:uid="{F621B00F-C049-504C-845E-303052C9DD0F}"/>
    <hyperlink ref="A471" r:id="rId659" display="https://www.dropbox.com/scl/fi/5znnsja0whseucp1jrbob/40283.pdf?rlkey=38vefm1bukptr10h5h0ghboz9&amp;dl=0" xr:uid="{BFD89EC7-A7E9-BA4F-AB67-EE77DDCCD05B}"/>
    <hyperlink ref="A472" r:id="rId660" display="https://www.dropbox.com/scl/fi/2zmh8ekrmjanq2eq1y2ky/40306.pdf?rlkey=kh9jodqfh7ilcilv5gkfog2e9&amp;dl=0" xr:uid="{63B0C94A-5027-024F-A56A-F4DC3B0DFD46}"/>
    <hyperlink ref="A473" r:id="rId661" display="https://www.dropbox.com/scl/fi/o4yzbz6q4jc6atpgf8td5/40309.pdf?rlkey=seu3xav9wmpz16qt9ggnm149g&amp;dl=0" xr:uid="{AF00B312-7125-1941-BC63-CAD0E9962DBA}"/>
    <hyperlink ref="A474" r:id="rId662" display="https://www.dropbox.com/scl/fi/udwkpivpy4foyuupx403o/40310.pdf?rlkey=2zd9ohsexxm53vs6y7xx9mkw0&amp;dl=0" xr:uid="{F8906F07-F348-F149-A5B2-11BC88C035CD}"/>
    <hyperlink ref="A475" r:id="rId663" display="https://www.dropbox.com/scl/fi/vdsfz6lbbztj51z9luylm/40315.pdf?rlkey=oczu8dyyxa1tu1z0emag8cd7a&amp;dl=0" xr:uid="{4A89E8CC-7483-C248-94DC-B16A18BF59D7}"/>
    <hyperlink ref="A476" r:id="rId664" display="https://www.dropbox.com/scl/fi/28og92g25fkr3u8s7ju9q/40328.pdf?rlkey=g3df32z0de3bpk61vd77lez4v&amp;dl=0" xr:uid="{1965AF0E-45F4-9342-862E-527A88507BCB}"/>
    <hyperlink ref="A477" r:id="rId665" display="https://www.dropbox.com/scl/fi/mo8fchcze7z53s03kfye8/40329.pdf?rlkey=qcy3y5178dd53tohc6xv2whj9&amp;dl=0" xr:uid="{66199E61-2D5E-2944-948A-A3516DA4BDD4}"/>
    <hyperlink ref="A478" r:id="rId666" display="https://www.dropbox.com/scl/fi/3bmxllww6q2zzy8mo9783/40330.pdf?rlkey=pxjpalr25pxtamkzb0fwlqp3n&amp;dl=0" xr:uid="{AC732828-1AA2-5140-9556-7AFB8701F772}"/>
    <hyperlink ref="A479" r:id="rId667" display="https://www.dropbox.com/scl/fi/j5yliysn5ennw31b675va/40331.pdf?rlkey=fg8n2wo6sf6hh1a2707qxp73r&amp;dl=0" xr:uid="{A5C94412-A6D9-A747-8F43-D63C0D1E74D3}"/>
    <hyperlink ref="A480" r:id="rId668" display="https://www.dropbox.com/scl/fi/a57gin8e9eotkbdppqt3g/40332.pdf?rlkey=magbl4nzh3dnjqwpchyupn84w&amp;dl=0" xr:uid="{BECD698D-9B98-0C4F-A60B-EF163E4F5CC2}"/>
    <hyperlink ref="A481" r:id="rId669" display="https://www.dropbox.com/scl/fi/45sy86j7vgsz4spkpwf26/40334.pdf?rlkey=x8pw3tv91ji0cwv1lpxahzvvp&amp;dl=0" xr:uid="{5F50F1F7-B3D6-6749-AAE5-B42448223E24}"/>
    <hyperlink ref="A482" r:id="rId670" display="https://www.dropbox.com/scl/fi/crwogrhk0fxf41g16hbu6/40335.pdf?rlkey=hm8kfpb9w9fhsexigq3b10py1&amp;dl=0" xr:uid="{9258A826-A837-1844-B8F4-7C18569D3005}"/>
    <hyperlink ref="A483" r:id="rId671" display="https://www.dropbox.com/scl/fi/y6enrhczocztai1asm63s/40336.pdf?rlkey=xp1ms912d3vl6vl6cyn3rb0c4&amp;dl=0" xr:uid="{68A41E09-BA2C-5D47-9271-330908732DE7}"/>
    <hyperlink ref="A484" r:id="rId672" display="https://www.dropbox.com/scl/fi/uktb0iooedwb7e9mnid20/40342.pdf?rlkey=vfggan3zl22kkp2axgjadh68w&amp;dl=0" xr:uid="{8483A446-BB00-A049-AD73-70DE94AC00B1}"/>
    <hyperlink ref="A485" r:id="rId673" display="https://www.dropbox.com/scl/fi/8ztuu2x4htzyb2ehgsck5/40349.pdf?rlkey=gvyn15mvvm1o9k9jgxpi7acrw&amp;dl=0" xr:uid="{D887B92D-E0CD-F749-86D0-F7A62A750BCF}"/>
    <hyperlink ref="A486" r:id="rId674" display="https://www.dropbox.com/scl/fi/2rhiod9md3i79vumapgur/40351.pdf?rlkey=m4sxermq4aja5va48r135hul8&amp;dl=0" xr:uid="{35DEA4E8-CFCD-9248-BA60-FC71F6AB8606}"/>
    <hyperlink ref="A487" r:id="rId675" display="https://www.dropbox.com/scl/fi/ju1azrzby447q7pm4eqie/40352.pdf?rlkey=1jjao2wuyxrv43j3sydnnco8f&amp;dl=0" xr:uid="{0424EB56-1ACB-7846-9FB5-005373DDE5C2}"/>
    <hyperlink ref="A490" r:id="rId676" display="https://www.dropbox.com/scl/fi/tdpfcwxswae478t4p7wms/40355.pdf?rlkey=al8d8fem1hb4l19r6a9tlpl6k&amp;dl=0" xr:uid="{647E63ED-4A3F-334F-8E3E-C738CA07FDDB}"/>
    <hyperlink ref="A491" r:id="rId677" display="https://www.dropbox.com/scl/fi/ql4xs6s7zhvya63rgjfib/40356.pdf?rlkey=f7rjos1n1wlrns58jn71pnbwe&amp;dl=0" xr:uid="{CD28C205-4CD9-F546-B7B6-FA4D55D4BBD7}"/>
    <hyperlink ref="A492" r:id="rId678" display="https://www.dropbox.com/scl/fi/wnipx3puznd8owhrj4d6f/40357.pdf?rlkey=rmvbn0jzrmw1yc43p89sny6ui&amp;dl=0" xr:uid="{1812E092-CC70-E345-9D65-3CF8DD09B2B6}"/>
    <hyperlink ref="A493" r:id="rId679" display="https://www.dropbox.com/scl/fi/hff79bhi74f4atnm5tadv/40358.pdf?rlkey=o2y2b9auhimdwrmm2glsf1r6q&amp;dl=0" xr:uid="{8EA06C34-441A-BA42-8834-2D836E3B4E83}"/>
    <hyperlink ref="A494" r:id="rId680" display="https://www.dropbox.com/scl/fi/vmc34ut3o7dodhowqopsn/40359.pdf?rlkey=8tubpufaz5uklsbpguvjv8so3&amp;dl=0" xr:uid="{65630481-3CBD-FD48-875E-133C48E61F7F}"/>
    <hyperlink ref="A495" r:id="rId681" display="https://www.dropbox.com/scl/fi/aub7l5seeet1z5w4q2897/40363.pdf?rlkey=ikz2zj7tbhojth5tbi2z1udrv&amp;dl=0" xr:uid="{81FF83F2-0E7D-C747-865B-8BAF93A74541}"/>
    <hyperlink ref="A496" r:id="rId682" display="https://www.dropbox.com/scl/fi/s0wcs0easdr8t248lntug/40364.pdf?rlkey=meqo47c11zlgk7giw9bidm7fe&amp;dl=0" xr:uid="{B8FD5D54-DFC2-C243-BFFD-9230F87A35EA}"/>
    <hyperlink ref="A497" r:id="rId683" display="https://www.dropbox.com/scl/fi/nrw9pde7p1m5e8994hor7/40368.pdf?rlkey=dypo4mvepsp5a0u9ga8i5wqs1&amp;dl=0" xr:uid="{4B39A5A9-7A84-4246-B6BC-0F6A1419D9E7}"/>
    <hyperlink ref="A498" r:id="rId684" display="https://www.dropbox.com/scl/fi/4ff75rcbwz3dg4rchm79v/40374.pdf?rlkey=gbwhxb2x3n8g0ki9q4bcn6hu5&amp;dl=0" xr:uid="{D77FD256-4C1C-5542-89E2-E7AF72233E36}"/>
    <hyperlink ref="A499" r:id="rId685" display="https://www.dropbox.com/scl/fi/a8uqapczk4pfdd8sg2ufa/40379.pdf?rlkey=8gj17nkpndrcs41uy4nsa6hdv&amp;dl=0" xr:uid="{07154E77-3601-3044-A739-E5EB9DC72365}"/>
    <hyperlink ref="A500" r:id="rId686" display="https://www.dropbox.com/scl/fi/hhnp4iw8queirai8ul0dj/40380.pdf?rlkey=smuif5g5qs687n422w1vdv114&amp;dl=0" xr:uid="{8B4B9508-CA2F-C849-88E6-AC15B37DC2AB}"/>
    <hyperlink ref="A501" r:id="rId687" display="https://www.dropbox.com/scl/fi/50vfjuxn90jw3playofi2/40383.pdf?rlkey=ra7k6jx5i2zifbg1diqclauoz&amp;dl=0" xr:uid="{6EBCEFDE-389F-364D-B004-DC02CFD31CC0}"/>
    <hyperlink ref="A502" r:id="rId688" display="https://www.dropbox.com/scl/fi/ebjchvme2ed5qzga8d4qj/40384.pdf?rlkey=e9neujkj31tjrjxylstpppuqd&amp;dl=0" xr:uid="{EF072663-BC1F-FC4D-8112-2E7D7F2AB771}"/>
    <hyperlink ref="A503" r:id="rId689" display="https://www.dropbox.com/scl/fi/weh00w9pqaig2k8hm0bng/40385.pdf?rlkey=azfywndv8nos8m5u4r3314j8z&amp;dl=0" xr:uid="{8A4C8433-95C7-EA4B-866C-1FA0065BEEAB}"/>
    <hyperlink ref="A504" r:id="rId690" display="https://www.dropbox.com/scl/fi/ihxf0qbmqegkmqmv21grl/40386.pdf?rlkey=vn84zs7bntenylmpopov5iyc7&amp;dl=0" xr:uid="{07FFF5EB-2D2F-B044-9C16-B90C64646567}"/>
    <hyperlink ref="A505" r:id="rId691" display="https://www.dropbox.com/scl/fi/683ooa2wmzqudnvpwir67/40387.pdf?rlkey=9g07rn1opzm4atwljah55naez&amp;dl=0" xr:uid="{F312B95C-8216-7149-8C2C-65A89773D174}"/>
    <hyperlink ref="A506" r:id="rId692" display="https://www.dropbox.com/scl/fi/htjclci12u99ahmlnjwnl/40389.pdf?rlkey=937n58sp0fqk6vdogvb00cega&amp;dl=0" xr:uid="{D1CB1C66-28D6-C441-A1EA-8E4F80555EEF}"/>
    <hyperlink ref="A507" r:id="rId693" display="https://www.dropbox.com/scl/fi/j393xo1sd676fnz71mnid/40391.pdf?rlkey=euk8lz925x95hr3y80l1ccv8c&amp;dl=0" xr:uid="{5E48BD55-A0FA-C842-864D-357BC021B4D8}"/>
    <hyperlink ref="A508" r:id="rId694" display="https://www.dropbox.com/scl/fi/g4pwjea2bwnfwyonqn3id/40392.pdf?rlkey=nnozwqhf7n7yciltcma3218iw&amp;dl=0" xr:uid="{73F58F67-5E1F-F44E-8633-7994BC52242E}"/>
    <hyperlink ref="A509" r:id="rId695" display="https://www.dropbox.com/scl/fi/1kv81ohchjpuff1j7250r/40394.pdf?rlkey=9pfhldjc76t9thw6p70v6p2dm&amp;dl=0" xr:uid="{67BF23FD-F8F2-AB4D-8029-5807BB37FAE4}"/>
    <hyperlink ref="A510" r:id="rId696" display="https://www.dropbox.com/scl/fi/bv05g96hv2kl7d8pd9vbk/40396.pdf?rlkey=dxy9qpkvr0ausgi5828p3e9tc&amp;dl=0" xr:uid="{799DA05D-A996-0343-8E49-9F7078777CA5}"/>
    <hyperlink ref="A511" r:id="rId697" display="https://www.dropbox.com/scl/fi/431k3ycd2s0688pb5hn8y/40397.pdf?rlkey=3d3fhx1vb7emzqz56f9zq0mae&amp;dl=0" xr:uid="{CD478D7E-07EC-644C-AC4D-64DA138A4F67}"/>
    <hyperlink ref="A512" r:id="rId698" display="https://www.dropbox.com/scl/fi/tw4quwrt61q7e1efj53xe/40398.pdf?rlkey=t8lu0lf836glxpm1kcok0dmsu&amp;dl=0" xr:uid="{4192016F-03F0-564D-8B21-11CE6564F43B}"/>
    <hyperlink ref="A513" r:id="rId699" display="https://www.dropbox.com/scl/fi/5m6m3utri6ijbcsafdix0/40403.pdf?rlkey=eu3ya13945r5h7ruuecbh8bek&amp;dl=0" xr:uid="{C46B3FD3-858E-1140-A868-7D154CD77BBF}"/>
    <hyperlink ref="A514" r:id="rId700" display="https://www.dropbox.com/scl/fi/ndpwlgfnwdkwx51b7lsea/40404.pdf?rlkey=btuhb0vg9024jtxdqgvwybdc8&amp;dl=0" xr:uid="{A3302650-0E61-4441-BB59-329E4578EA98}"/>
    <hyperlink ref="A515" r:id="rId701" display="https://www.dropbox.com/scl/fi/xn5s74mi41in4bllnkjcf/40405.pdf?rlkey=dvgr4cy9cjvislj3mv37ld1or&amp;dl=0" xr:uid="{647D725C-0595-5440-B078-4C946BBF173B}"/>
    <hyperlink ref="A516" r:id="rId702" display="https://www.dropbox.com/scl/fi/0iibt627babxbmarmhlo2/40406.pdf?rlkey=xt3b4oh0t4h22cv279yg68xbw&amp;dl=0" xr:uid="{A3026CC5-BF1C-6C4D-B925-3FF7CCBEDB72}"/>
    <hyperlink ref="A517" r:id="rId703" display="https://www.dropbox.com/scl/fi/3ogusbyb2daw3eu31rgoh/40407.pdf?rlkey=duek58u4xsy34kbiktiuf7yyh&amp;dl=0" xr:uid="{BC37D966-C1B0-2F4F-BCFC-F078267A0969}"/>
    <hyperlink ref="A518" r:id="rId704" display="https://www.dropbox.com/scl/fi/f83sa7d2s2uy3ip49vtrv/40408.pdf?rlkey=p1r89vsiymq45fq9me4z6j22d&amp;dl=0" xr:uid="{C9400A0E-4759-DC42-9FDA-7E3D66427864}"/>
    <hyperlink ref="A519" r:id="rId705" display="https://www.dropbox.com/scl/fi/qahb2m74nhlnk1k17pmgy/40409.pdf?rlkey=culine6zvrz896nl1dmrxj0rr&amp;dl=0" xr:uid="{5C8F8E41-2C1F-394E-8447-5F69948FCC89}"/>
    <hyperlink ref="A520" r:id="rId706" display="https://www.dropbox.com/scl/fi/e3qcwyvgsoqxbqspx1mt4/40410.pdf?rlkey=b6q6n5iqk16n4c2jcrvfji5xh&amp;dl=0" xr:uid="{07F5B55A-9B0A-3041-B6E2-752C42B0D787}"/>
    <hyperlink ref="A521" r:id="rId707" display="https://www.dropbox.com/scl/fi/vdkw0m9ovnkuz5czv3yf3/40411.pdf?rlkey=udc3u42qc1ivdhzsmltxfiw4j&amp;dl=0" xr:uid="{BB162FDC-9A45-454E-A8A3-6F42B23752F7}"/>
    <hyperlink ref="A522" r:id="rId708" display="https://www.dropbox.com/scl/fi/7mrt5w8kbbjf0xfdd3gjb/40412.pdf?rlkey=knmuvb54a7uxdsagg8bh9rny7&amp;dl=0" xr:uid="{1FF99986-07EB-844A-B0F5-74B076EEF2DB}"/>
    <hyperlink ref="A523" r:id="rId709" display="https://www.dropbox.com/scl/fi/5ui76zig94vy1hf5o8t5y/40413.pdf?rlkey=s5m3asl3uec4mgel2b1bziu22&amp;dl=0" xr:uid="{7CC8B67A-66D1-2C48-BCED-79EA95EC1E13}"/>
    <hyperlink ref="A524" r:id="rId710" display="https://www.dropbox.com/scl/fi/5knb7jx6nv3i083hf2an8/40414.pdf?rlkey=k06silb8oxidrw135t0wd9w3h&amp;dl=0" xr:uid="{B5FFA5B5-DB4D-CE40-A4D0-B39C8F39220A}"/>
    <hyperlink ref="A525" r:id="rId711" display="https://www.dropbox.com/scl/fi/e7rayvrss7kr4hl65abgt/40429.pdf?rlkey=id0iaz8vebhok7s6zblpatgv7&amp;dl=0" xr:uid="{3BC6CBA1-5D16-6945-B6C8-291E90AA7BC4}"/>
    <hyperlink ref="A526" r:id="rId712" display="https://www.dropbox.com/scl/fi/9hi96bm5csrpxzbrq206r/40430.pdf?rlkey=911af1h1qdveqonch8dkh28l8&amp;dl=0" xr:uid="{AC3783E4-642D-DE40-8043-0BAE4021BCB1}"/>
    <hyperlink ref="A528" r:id="rId713" display="https://www.dropbox.com/scl/fi/aabnewofgc5psqnizrmha/40433.pdf?rlkey=uh0kn9dh8zt1c7kawbtneo1cx&amp;dl=0" xr:uid="{7DCFA4E0-23EA-354C-987D-FBFE2BCF1875}"/>
    <hyperlink ref="A529" r:id="rId714" display="https://www.dropbox.com/scl/fi/k37ffc1riwrdixqmjm9my/40445.pdf?rlkey=udlelh4uyruh1inpp4cidrt0y&amp;dl=0" xr:uid="{8438B949-9BB1-E341-AFFE-45A34381EB60}"/>
    <hyperlink ref="A531" r:id="rId715" display="https://www.dropbox.com/scl/fi/x74p2qgkjr4qpjn23s1aq/40450.pdf?rlkey=686zz68ut60xlempav01odqk1&amp;dl=0" xr:uid="{4F59A1E9-06DA-C74B-9CD5-4F085373FA8D}"/>
    <hyperlink ref="A532" r:id="rId716" display="https://www.dropbox.com/scl/fi/0un2uwiek4w5c7geak1ic/40453.pdf?rlkey=czel9xbsomadw8gkqwgki8hxi&amp;dl=0" xr:uid="{6858797F-50EB-FA44-A923-B50F7D5D0270}"/>
    <hyperlink ref="A533" r:id="rId717" display="https://www.dropbox.com/scl/fi/opvfcrvxpb5nf05g5sz40/40460.pdf?rlkey=y80vljvsnz0318hiyjp5d9uzs&amp;dl=0" xr:uid="{F23684B3-BEAF-5945-B4AA-921EDCA519FE}"/>
    <hyperlink ref="A534" r:id="rId718" display="https://www.dropbox.com/scl/fi/vrpz1orxqeahdkf0tp9hv/40461.pdf?rlkey=rrgvi0vkylughdxc19rthheap&amp;dl=0" xr:uid="{AD3FCB9B-A2E2-8A46-85EB-B77145E74F1C}"/>
    <hyperlink ref="A535" r:id="rId719" display="https://www.dropbox.com/scl/fi/3qkndqmg77kt907nyot15/40462.pdf?rlkey=xjaaqpzaojtm2i6s3jvf0elc2&amp;dl=0" xr:uid="{DCB33DF5-CDEB-3647-BF39-74BEA822318A}"/>
    <hyperlink ref="A536" r:id="rId720" display="https://www.dropbox.com/scl/fi/79egi8m7gonctq0c9m09s/40463.pdf?rlkey=34jw9r00wwim2i15rgqrqach4&amp;dl=0" xr:uid="{3AF18F65-D5AF-D84B-BD8B-290578AD2B43}"/>
    <hyperlink ref="A537" r:id="rId721" display="https://www.dropbox.com/scl/fi/8uooultlpokcf9px3gig6/40468.pdf?rlkey=cjy4fd26ugho2wshjcze0ti9z&amp;dl=0" xr:uid="{59631BF2-7549-DC4F-A3B9-F59FB157B0B1}"/>
    <hyperlink ref="A538" r:id="rId722" display="https://www.dropbox.com/scl/fi/06cgxen3vmfwpuhecevbu/40469.pdf?rlkey=33zdb6bih2pm09tskhf3hoq47&amp;dl=0" xr:uid="{5638B35E-5275-8340-BF3D-EBA60ED8EC9A}"/>
    <hyperlink ref="A539" r:id="rId723" display="https://www.dropbox.com/scl/fi/64txzi007a6rijpmntwsj/40474.pdf?rlkey=mohxlnc5nsf3xspao1ujrxrf9&amp;dl=0" xr:uid="{A0ADDF2E-A96F-BD4E-A0C6-A8AC4B73CBC9}"/>
    <hyperlink ref="A540" r:id="rId724" display="https://www.dropbox.com/scl/fi/nf4st8u5qhlmwlogiqwln/40475.pdf?rlkey=0wgzufvakomgrgxx4xhd7qw97&amp;dl=0" xr:uid="{EA886486-CBBC-3C45-B748-FC981F4E773C}"/>
    <hyperlink ref="A541" r:id="rId725" display="https://www.dropbox.com/scl/fi/u2sc4ucr34kx2i54f0xa9/40480.pdf?rlkey=4j5tzp3u2uu399rl9vx0zl6rj&amp;dl=0" xr:uid="{C6B3CFA5-FECE-BD4F-98FF-A6A6A40DD7D1}"/>
    <hyperlink ref="A542" r:id="rId726" display="https://www.dropbox.com/scl/fi/ddmcsm353frtm1hrp7v8x/40486.pdf?rlkey=f79l8wcp6vajfj5iv2z1o2owx&amp;dl=0" xr:uid="{EA92F7B5-7B32-B943-A098-EE2F440FD904}"/>
    <hyperlink ref="A543" r:id="rId727" display="https://www.dropbox.com/scl/fi/fp16mkx0kvodo6dit2hcz/40487.pdf?rlkey=wbugi893ofsbj405a2f4u9lsh&amp;dl=0" xr:uid="{EF03F74C-3958-D145-9D86-BC069EBE1FCC}"/>
    <hyperlink ref="A544" r:id="rId728" display="https://www.dropbox.com/scl/fi/ay4ezr94zd7jendnhpb1n/40488.pdf?rlkey=1mwnkmq9w5q0qkemh5xcp9ltf&amp;dl=0" xr:uid="{02C06625-2E78-734B-B449-485975F3E45A}"/>
    <hyperlink ref="A545" r:id="rId729" display="https://www.dropbox.com/scl/fi/prf3z85mfcjcthqdhb07p/40496.pdf?rlkey=gafcugkia61eoomrdx2hw7pl0&amp;dl=0" xr:uid="{D5370769-F8DD-804B-9715-2C1A1C83D548}"/>
    <hyperlink ref="A546" r:id="rId730" display="https://www.dropbox.com/scl/fi/f4xrtiulfqpujo4ibkqqw/40497.pdf?rlkey=3xbkkilo7p0e8slfd69ydw0vt&amp;dl=0" xr:uid="{2C926740-7A3C-5947-806F-B1F56983654B}"/>
    <hyperlink ref="A547" r:id="rId731" display="https://www.dropbox.com/scl/fi/wo3c1q27txxf7twb4bsi9/40499.pdf?rlkey=umy2twwzyrgubstwva10q2gwn&amp;dl=0" xr:uid="{46AD8985-4F50-5A4C-9E3A-47A0D469F5CB}"/>
    <hyperlink ref="A548" r:id="rId732" display="https://www.dropbox.com/scl/fi/x2besj56hukl2yc7kmj27/40500.pdf?rlkey=i0i4u0mutdl8uu0pdhr5reig1&amp;dl=0" xr:uid="{F21F2F06-1C31-6747-BD3C-79B1EC56B3BF}"/>
    <hyperlink ref="A549" r:id="rId733" display="https://www.dropbox.com/scl/fi/0szeh03v1qygi29n1nu0h/40526.pdf?rlkey=0ztrtylltc4nja27yu42zjgbt&amp;dl=0" xr:uid="{C464AE7D-2881-6242-9399-C7D94FE1DF72}"/>
    <hyperlink ref="A550" r:id="rId734" display="https://www.dropbox.com/scl/fi/9df5ars1t6gedhsx87lnt/40528.pdf?rlkey=yixbjhutmvtzf2afop6kj5jri&amp;dl=0" xr:uid="{F9C5B8B9-A881-664A-8996-601E61263FC7}"/>
    <hyperlink ref="A551" r:id="rId735" display="https://www.dropbox.com/scl/fi/lzks52z7023nzgq86z4no/40533.pdf?rlkey=umgrnelpyun146hudlq6v9f8m&amp;dl=0" xr:uid="{BD33120D-D43B-934B-A20E-52C5A1780502}"/>
    <hyperlink ref="A552" r:id="rId736" display="https://www.dropbox.com/scl/fi/c939q62ki5ml466mi4czc/40534.pdf?rlkey=0i4r4wifzgpz659d0ol2e0jp6&amp;dl=0" xr:uid="{9FB875E8-08B0-DA4F-BE77-EEE73FEE71BC}"/>
    <hyperlink ref="A553" r:id="rId737" display="https://www.dropbox.com/scl/fi/x27hj9eja9hjq5ronssz4/40535.pdf?rlkey=w52o0xflipqwkj1e1uhdvixmw&amp;dl=0" xr:uid="{72191C96-3E9D-F54B-879E-3EA1ADF26DBD}"/>
    <hyperlink ref="A554" r:id="rId738" display="https://www.dropbox.com/scl/fi/6d0ehfhx0m6b7mfskhyvg/40536.pdf?rlkey=athdw5umqv20p5g7vxh72vas7&amp;dl=0" xr:uid="{A293FABE-DF78-8944-9258-D696F14526D1}"/>
    <hyperlink ref="A555" r:id="rId739" display="https://www.dropbox.com/scl/fi/7tvetqovu10614fxxslt6/40537.pdf?rlkey=rh0qmrz467s6ngnwm12arzbmr&amp;dl=0" xr:uid="{E34D8AB2-C95E-7B47-AD1A-7BAF6C788635}"/>
    <hyperlink ref="A556" r:id="rId740" display="https://www.dropbox.com/scl/fi/ww8hr4e4zxnu13swrw9x2/40538.pdf?rlkey=kecno2v0ntam74lscyyoddwcl&amp;dl=0" xr:uid="{E8EDEC50-AB8E-6645-9AAA-BAE43A542F5B}"/>
    <hyperlink ref="A557" r:id="rId741" display="https://www.dropbox.com/scl/fi/kcczhd0wbxgodlg3quhto/40702.pdf?rlkey=3sjyov3v6eubc06x83471jp88&amp;dl=0" xr:uid="{E957E357-0744-2049-88F6-CB12C435182B}"/>
    <hyperlink ref="A558" r:id="rId742" display="https://www.dropbox.com/scl/fi/c5k8gx05wsobm5fbhupri/40709.pdf?rlkey=salri2y727yq6q6tm7s5ei5yh&amp;dl=0" xr:uid="{0CC2F56A-46DF-4947-8FAA-6E51D772504B}"/>
    <hyperlink ref="A559" r:id="rId743" display="https://www.dropbox.com/scl/fi/oivei03f6dj94954y1xnc/40719.pdf?rlkey=lh4do8h1epqmtis0mpvpbwe1n&amp;dl=0" xr:uid="{E112C1F0-1024-CF4F-AF83-E296DF83892D}"/>
    <hyperlink ref="A560" r:id="rId744" display="https://www.dropbox.com/scl/fi/jg1ur7n0f0hf35b6k58ju/40720.pdf?rlkey=sxhqypj99ff4nexrwi4u2c229&amp;dl=0" xr:uid="{EA93161C-2DFD-2547-98DC-24506E29044B}"/>
    <hyperlink ref="A561" r:id="rId745" display="https://www.dropbox.com/scl/fi/kw4oy5owch497e7gkdsox/40725.pdf?rlkey=9823xip8c55miafsyjr1b2ci3&amp;dl=0" xr:uid="{5003EBAF-66CD-3744-80B6-070E93F79CFC}"/>
    <hyperlink ref="A562" r:id="rId746" display="https://www.dropbox.com/scl/fi/6zst7lfz8rsgx5zgn8c4q/40726.pdf?rlkey=2pk4oczirdkid92t7mbwe9ijh&amp;dl=0" xr:uid="{04379C4A-CA61-8542-9B82-68C089F16B54}"/>
    <hyperlink ref="A563" r:id="rId747" display="https://www.dropbox.com/scl/fi/2ms2mcun2k2oogk30ffzg/40730.pdf?rlkey=ds33yn821esyea2zv7xi1nin7&amp;dl=0" xr:uid="{FDEDB4D0-7BEB-5C4F-8976-29D033D6D7DB}"/>
    <hyperlink ref="A564" r:id="rId748" display="https://www.dropbox.com/scl/fi/a621nuqb8m2345dvj9aoi/40731.pdf?rlkey=k4r0umn6jhwgoocmikczgqqjr&amp;dl=0" xr:uid="{B7CC8F47-7688-4648-A81D-54FDBA742110}"/>
    <hyperlink ref="A565" r:id="rId749" display="https://www.dropbox.com/scl/fi/76i6dvkthiuizwtbztoim/40732.pdf?rlkey=4zbgyhom4hfrgknhpbszkldl2&amp;dl=0" xr:uid="{AA65548E-2AF1-5E4D-B1D4-F240F669C4D1}"/>
    <hyperlink ref="A566" r:id="rId750" display="https://www.dropbox.com/scl/fi/7svu0n2lb6f59jz1ofq92/40733.pdf?rlkey=em7bydq7cwnpvhuev1ns1f49x&amp;dl=0" xr:uid="{2CAEC491-C58B-0D4A-922F-C223BC6EF4EB}"/>
    <hyperlink ref="A567" r:id="rId751" display="https://www.dropbox.com/scl/fi/g91z2q2o57js1vejh706w/40750.pdf?rlkey=jlfb6w485jpj8q298mspuq4o7&amp;dl=0" xr:uid="{8AAA5F18-BED6-FF4F-AEC9-EFD52638624B}"/>
    <hyperlink ref="A568" r:id="rId752" display="https://www.dropbox.com/scl/fi/0kn1nd82x9i3xiz2udxgd/40751.pdf?rlkey=4gqxeflkj1nrzcw6ctlcpzo7f&amp;dl=0" xr:uid="{2659EF9E-3B5A-FB4F-A1D7-2AB7094414D3}"/>
    <hyperlink ref="A569" r:id="rId753" display="https://www.dropbox.com/scl/fi/t0mvp1n3bmqvibcu2qgk0/40759.pdf?rlkey=2ae0yd6gs8p5d9jwjw9g6qmq9&amp;dl=0" xr:uid="{827165FB-F08A-F94E-A511-BC4391A7E06D}"/>
    <hyperlink ref="A570" r:id="rId754" display="https://www.dropbox.com/scl/fi/5a6ivwx4pxrsngx2xsbud/40760.pdf?rlkey=teakb8ebw8sw318rp3r8x831q&amp;dl=0" xr:uid="{B940D980-2AE7-8845-9609-6C18EFE7E522}"/>
    <hyperlink ref="A572" r:id="rId755" display="https://www.dropbox.com/scl/fi/qyavm4gxe7ms3gh1j9hn6/40767.pdf?rlkey=j4xuua8gk9r1ywc8pwp7zygth&amp;dl=0" xr:uid="{E0EEB906-AB37-5F45-B574-6F53A77C7041}"/>
    <hyperlink ref="A573" r:id="rId756" display="https://www.dropbox.com/scl/fi/i7jt5diyg823y10yry0i2/40777.pdf?rlkey=594q1r3jdvosxc5mb1dge910x&amp;dl=0" xr:uid="{A763BB2F-06B3-CD46-87CA-34D8D8DFDEB9}"/>
    <hyperlink ref="A574" r:id="rId757" display="https://www.dropbox.com/scl/fi/7ra67lg68xtjme3mgsu6o/40778.pdf?rlkey=hcf9zdheeedvu4kpkhq7bchrq&amp;dl=0" xr:uid="{BAB74BD0-A76E-6845-A88D-68CE29380F21}"/>
    <hyperlink ref="A576" r:id="rId758" display="https://www.dropbox.com/scl/fi/rqt8xyu471woy7w2v6u56/40789.pdf?rlkey=fmpm6trijodr9a03udal8u41j&amp;dl=0" xr:uid="{B5919741-36AA-1D49-BC06-489F64586F7C}"/>
    <hyperlink ref="A577" r:id="rId759" display="https://www.dropbox.com/scl/fi/e5dj7kgbittmxsmocll0w/40792.pdf?rlkey=x4hnlqufjh28xyrbx1yu79vqv&amp;dl=0" xr:uid="{155EE980-E657-7E42-81DE-D90754067424}"/>
    <hyperlink ref="A578" r:id="rId760" display="https://www.dropbox.com/scl/fi/ccli89awaf8v3f3ucklkh/40800.pdf?rlkey=njpskjxt9p1tq9h43lj3xqq57&amp;dl=0" xr:uid="{B5720D44-2762-DF47-8639-55B88098474C}"/>
    <hyperlink ref="A579" r:id="rId761" display="https://www.dropbox.com/scl/fi/lz40ynnivnud5du378o5m/40801.pdf?rlkey=mzvcip1fpmju420fj57inz0l4&amp;dl=0" xr:uid="{E77F3608-3912-5546-B310-648323D8BB89}"/>
    <hyperlink ref="A580" r:id="rId762" display="https://www.dropbox.com/scl/fi/gzk13gzc2z5f9g4hlssf0/40805.pdf?rlkey=y19zirb89ajwktm9an06delu2&amp;dl=0" xr:uid="{81D21746-E3A5-0744-80FF-EC757D3C98AD}"/>
    <hyperlink ref="A581" r:id="rId763" display="https://www.dropbox.com/scl/fi/s56ue3g4p10pq74t43sbs/40806.pdf?rlkey=r10h7xm1wsz3787fkxx4mn6mj&amp;dl=0" xr:uid="{E1800F34-BFA9-0949-9BA4-CAC6E3F46D53}"/>
    <hyperlink ref="A582" r:id="rId764" display="https://www.dropbox.com/scl/fi/1heuis4cwusybwoxh6qjp/40807.pdf?rlkey=wdp4fmq9uehdjes9adwr2na3h&amp;dl=0" xr:uid="{962708C2-2A56-8D47-BA4A-AAD22F71274A}"/>
    <hyperlink ref="A583" r:id="rId765" display="https://www.dropbox.com/scl/fi/ca7peis0hca1w9iobv36n/40808.pdf?rlkey=qggz1x6pki8f6o6pajcspqgmj&amp;dl=0" xr:uid="{BA96EDBC-177E-C746-A6A8-445C23492868}"/>
    <hyperlink ref="A595" r:id="rId766" display="https://www.dropbox.com/scl/fi/xptczpvfborkrtnse4mgp/40822.pdf?rlkey=k5zbr76tikksykr3fnnfcfivq&amp;dl=0" xr:uid="{203EC3CF-4ABA-BE46-A04A-BD013529FB88}"/>
    <hyperlink ref="A596" r:id="rId767" display="https://www.dropbox.com/scl/fi/fpz3gyjbuw49aof93brr1/40825.pdf?rlkey=j1ylbhjluj6ejz9n6s22y2jrk&amp;dl=0" xr:uid="{98702909-EE8B-7340-B1B5-0DA6A11B47BA}"/>
    <hyperlink ref="A597" r:id="rId768" display="https://www.dropbox.com/scl/fi/3vorn5uu99a97v6fnxn87/40826.pdf?rlkey=rmnpu3p8q50y705jo2b4l6gmo&amp;dl=0" xr:uid="{773DF50F-C5FD-6345-A139-49BFF07F194A}"/>
    <hyperlink ref="A598" r:id="rId769" display="https://www.dropbox.com/scl/fi/01o809yluc72fr6w90wnj/40846.pdf?rlkey=776vhga1qrao59e0iiam3qr35&amp;dl=0" xr:uid="{B3950AA6-D7E2-4F46-A1E3-F45FE994FB69}"/>
    <hyperlink ref="A599" r:id="rId770" display="https://www.dropbox.com/scl/fi/mer0v98y1gtdmdf6p3h21/40847.pdf?rlkey=phhfftmv7lf1q3thv1e7w3pzl&amp;dl=0" xr:uid="{E2BA6410-9630-5A4D-82A2-EE65D96FCC4E}"/>
    <hyperlink ref="A600" r:id="rId771" display="https://www.dropbox.com/scl/fi/ocbv16mddm670khg0clwt/40850.pdf?rlkey=tbrg37m4e4098yff5a1wdsymg&amp;dl=0" xr:uid="{CBA48E3C-2E1E-D945-A1FA-8501A72CCEE7}"/>
    <hyperlink ref="A601" r:id="rId772" display="https://www.dropbox.com/scl/fi/z5s5eoja3yhvr5alko7da/40851.pdf?rlkey=coyf9dprlncqi5y24kyf94cez&amp;dl=0" xr:uid="{8FF79956-55C7-4D42-942B-A9E61C309BE5}"/>
    <hyperlink ref="A602" r:id="rId773" display="https://www.dropbox.com/scl/fi/c7yrsguqlwg07q9vdrbbe/40866.pdf?rlkey=0chitb9w3swhuqzamatwbzcrf&amp;dl=0" xr:uid="{4831A161-331E-2F46-A49D-663AA4803107}"/>
    <hyperlink ref="A603" r:id="rId774" display="https://www.dropbox.com/scl/fi/ixjx1aip0v2p32u6dbn4l/40867.pdf?rlkey=j1gpjhzgcasowia9not9o994c&amp;dl=0" xr:uid="{37A3AC0B-180C-FC4B-A2C5-B51893A99F85}"/>
    <hyperlink ref="A604" r:id="rId775" display="https://www.dropbox.com/scl/fi/zsikt7iwpiuu3gcu6d8gp/40868.pdf?rlkey=b2ookkti92s4yuzngk95k49q8&amp;dl=0" xr:uid="{F41D1259-2028-B043-8D8B-D0A027065ED8}"/>
    <hyperlink ref="A605" r:id="rId776" display="https://www.dropbox.com/scl/fi/6f8z2gynb52d6j7tcbrc6/40876.pdf?rlkey=csrvpd7vng2mv2q9dwygirfgl&amp;dl=0" xr:uid="{6FAF80F4-AFC4-824B-BAB2-9257E34C5233}"/>
    <hyperlink ref="A607" r:id="rId777" display="https://www.dropbox.com/scl/fi/6ujuwyeecvwdqzo1kc3je/40880.pdf?rlkey=jh53x5dchqd8next8ooixo1eb&amp;dl=0" xr:uid="{62488D40-A837-9E40-9537-B9BB43460E6A}"/>
    <hyperlink ref="A608" r:id="rId778" display="https://www.dropbox.com/scl/fi/dz3oqilrmr9z6m7sx25uh/40881.pdf?rlkey=5w91xfvevi9gwcs9shtitwace&amp;dl=0" xr:uid="{769BDC01-3A71-DB46-B65A-50C2E225A16F}"/>
    <hyperlink ref="A609" r:id="rId779" display="https://www.dropbox.com/scl/fi/jzd3wjp954y23kjziq77f/40883.pdf?rlkey=mohu7t2ve75txdwgvbuyh4q65&amp;dl=0" xr:uid="{2415B3A3-11FD-8146-95C1-4944F89D6045}"/>
    <hyperlink ref="A610" r:id="rId780" display="https://www.dropbox.com/scl/fi/0sg4wc7l5kx71g6hl5e4f/40884.pdf?rlkey=0xl3ri3ms2zgnmzyqwsub6ppd&amp;dl=0" xr:uid="{577FB643-97BA-9441-AC43-5E60B70C2829}"/>
    <hyperlink ref="A611" r:id="rId781" display="https://www.dropbox.com/scl/fi/3zcb4qprw75l2lib4m2vs/40890.pdf?rlkey=fp288xfxn0umuvi2msex09euq&amp;dl=0" xr:uid="{92A37C6C-B6BF-E54A-96AA-15D347AA5376}"/>
    <hyperlink ref="A612" r:id="rId782" display="https://www.dropbox.com/scl/fi/74m4m8h54adqk91ioowc7/40891.pdf?rlkey=7d0ug6td2dgwli22yim1n8xsx&amp;dl=0" xr:uid="{825AD71C-0E9E-A744-B02D-AEE4DE78DB3C}"/>
    <hyperlink ref="A613" r:id="rId783" display="https://www.dropbox.com/scl/fi/0qpln79hiav4fpzt65e5s/40900.pdf?rlkey=fggnbddu889zs4jsfkckm5jt1&amp;dl=0" xr:uid="{2024F3E7-3D70-BC4D-B68A-DF7409798DA9}"/>
    <hyperlink ref="A614" r:id="rId784" display="https://www.dropbox.com/scl/fi/41rzm6kpup0694m1dqv7o/40902.pdf?rlkey=qbh50px9lla04xouerf9zxdle&amp;dl=0" xr:uid="{847EE155-8846-D24B-9D3D-568E9A388773}"/>
    <hyperlink ref="A615" r:id="rId785" display="https://www.dropbox.com/scl/fi/u4cplulp2yev4trghbksq/40903.pdf?rlkey=q509gh2j7s4kqt1cjtefaueut&amp;dl=0" xr:uid="{8AB30D28-1C92-FF43-AB69-0133B0414F67}"/>
    <hyperlink ref="A616" r:id="rId786" display="https://www.dropbox.com/scl/fi/5gruczdmd1xcd37zqlb0t/40904.pdf?rlkey=zbja1hmd66yq5quo8z6s91cdu&amp;dl=0" xr:uid="{B6550B3C-3440-8546-B988-8F5B9DE5E633}"/>
    <hyperlink ref="A617" r:id="rId787" display="https://www.dropbox.com/scl/fi/29n07fpgz4zrhx7kx1kn9/40905.pdf?rlkey=z7y6phiguv1yf863jqfw3hebv&amp;dl=0" xr:uid="{3FCEA767-7BAE-2447-AFEB-EA8D0A8D72DB}"/>
    <hyperlink ref="A618" r:id="rId788" display="https://www.dropbox.com/scl/fi/k3t3ozpzl1d7zesuvh4g7/40907.pdf?rlkey=qemi4jx3nlhqwismxbktvztu7&amp;dl=0" xr:uid="{EACB4676-4015-D149-98B1-53F233080EBC}"/>
    <hyperlink ref="A619" r:id="rId789" display="https://www.dropbox.com/scl/fi/1a60coiuymjfow2x17h1r/40908.pdf?rlkey=34g8qgdkxjxoifwsotqf8122w&amp;dl=0" xr:uid="{2B51D182-A358-E840-B180-602A662E4854}"/>
    <hyperlink ref="A620" r:id="rId790" display="https://www.dropbox.com/scl/fi/fakcuj0s8uchxxwjuy13i/40909.pdf?rlkey=zhsr9d0fic2ywwgq7ecfpdfue&amp;dl=0" xr:uid="{C48F3B5A-266F-834B-BC91-6552EA9E7F63}"/>
    <hyperlink ref="A621" r:id="rId791" display="https://www.dropbox.com/scl/fi/ck82vtto8uo823u99k15l/40910.pdf?rlkey=umtgmg61x3c3k67g5ks3oiqn1&amp;dl=0" xr:uid="{5A611D42-11BC-D943-890B-9817F0CA0E6A}"/>
    <hyperlink ref="A622" r:id="rId792" display="https://www.dropbox.com/scl/fi/a7ch3ny6g9it049qbi7sz/40911.pdf?rlkey=iz1uhkxcf3bdy4lrhgxis11sx&amp;dl=0" xr:uid="{18B118BA-070E-B943-8A86-23EEDCA0BAF3}"/>
    <hyperlink ref="A624" r:id="rId793" display="https://www.dropbox.com/scl/fi/ym8yo54p3q1ohju9wrsr1/40918.pdf?rlkey=umub830r0myhion3m77p7mykb&amp;dl=0" xr:uid="{8DBA755A-DBF2-BF46-9984-6669B179EF00}"/>
    <hyperlink ref="A625" r:id="rId794" display="https://www.dropbox.com/scl/fi/vfuqznzwzyy5uel6ik9e2/40919.pdf?rlkey=il9b9b8c1a9x16jy487uvsfzm&amp;dl=0" xr:uid="{EC1D0CC0-2BC4-274B-A773-44D95D7442B7}"/>
    <hyperlink ref="A626" r:id="rId795" display="https://www.dropbox.com/scl/fi/s55agtnoqmn3as46183rm/40920.pdf?rlkey=wow84zqe8r891cabjycbukkrh&amp;dl=0" xr:uid="{FD79DCA6-3F88-0C4F-8F88-793128068BE2}"/>
    <hyperlink ref="A627" r:id="rId796" display="https://www.dropbox.com/scl/fi/rynohi16rz3q0cdw4aucu/40921.pdf?rlkey=q43qhcr5qhx0a7936a5s9lxdo&amp;dl=0" xr:uid="{AFA9023C-4D52-5F41-A6DA-2C557C0832E8}"/>
    <hyperlink ref="A628" r:id="rId797" display="https://www.dropbox.com/scl/fi/sm481l9el4i9mj048rfkx/40923.pdf?rlkey=pfaq0w60dk3sd8k47koojhi6q&amp;dl=0" xr:uid="{E0C29355-38C3-BA44-92F2-3ABBE6C499B4}"/>
    <hyperlink ref="A629" r:id="rId798" display="https://www.dropbox.com/scl/fi/b1v9nma5bn3um17vhsj5y/40924.pdf?rlkey=suu0r4adzvyv22fm13ipfjfhg&amp;dl=0" xr:uid="{ED8747F0-9DE6-024D-98B6-7E7FDE58AA9D}"/>
    <hyperlink ref="A630" r:id="rId799" display="https://www.dropbox.com/scl/fi/bcsnkkp2227s7djxal24y/40925.pdf?rlkey=4uxgtx6eby4106ppda9kio9nv&amp;dl=0" xr:uid="{44A2FF91-6A10-1B43-B4E2-B0DFFFE5064A}"/>
    <hyperlink ref="A631" r:id="rId800" display="https://www.dropbox.com/scl/fi/ad2cn889ib65gv1a5ussp/40926.pdf?rlkey=5aysffhxcwacek36cjp3w6fy6&amp;dl=0" xr:uid="{871808E1-D8B7-3842-AAC2-55BA8AE5C9B9}"/>
    <hyperlink ref="A633" r:id="rId801" display="https://www.dropbox.com/scl/fi/xeg854qjkuwrlf8bcms7k/40937.pdf?rlkey=9dsz3k9uckpxm59mphku2bkuj&amp;dl=0" xr:uid="{E1423C55-2DE1-3548-9430-5707B399DCAA}"/>
    <hyperlink ref="A637" r:id="rId802" display="https://www.dropbox.com/scl/fi/nh6durjd0ahz4t94gz7xq/40944.pdf?rlkey=d26o3jalz7921ttouht3utgma&amp;dl=0" xr:uid="{C7E7C005-1E02-8342-94D1-03671D2E0CE1}"/>
    <hyperlink ref="A638" r:id="rId803" display="https://www.dropbox.com/scl/fi/jffk5hsrizipclfumqxu6/40951.pdf?rlkey=zu1zlzjdoonnldn6ost3uczmt&amp;dl=0" xr:uid="{FB20DF80-8036-1844-B659-D1821A6D54C7}"/>
    <hyperlink ref="A639" r:id="rId804" display="https://www.dropbox.com/scl/fi/y1lonlnfgslwtbobislqi/40952.pdf?rlkey=c4tp65oh0uglkcc6xuzczkptr&amp;dl=0" xr:uid="{4B2F10B9-577E-F24E-B948-DA8261BDD0B3}"/>
    <hyperlink ref="A640" r:id="rId805" display="https://www.dropbox.com/scl/fi/njz8yfddsyl5kc6fd20ht/40953.pdf?rlkey=viqbsd8ze74o0rwfndu7u2xl9&amp;dl=0" xr:uid="{054387D7-16E0-E347-AEA0-EF8983002A70}"/>
    <hyperlink ref="A641" r:id="rId806" display="https://www.dropbox.com/scl/fi/z6a4yfb5cx276uatbbhvn/40954.pdf?rlkey=inbr2krr1nc5xhptgjvca6uq1&amp;dl=0" xr:uid="{360646DA-5A8D-6F42-B945-72613A3FE4AA}"/>
    <hyperlink ref="A642" r:id="rId807" display="https://www.dropbox.com/scl/fi/sdswsv7zga7fdatfldlm2/40955.pdf?rlkey=4lfls4739bbgzf60zv2u2054p&amp;dl=0" xr:uid="{5A086A8B-50FA-8C44-AAFC-945535D3481B}"/>
    <hyperlink ref="A643" r:id="rId808" display="https://www.dropbox.com/scl/fi/jrn90pykymy90mpcshunr/40956.pdf?rlkey=j4ejf7v0kjuepyuvnh7zva7cb&amp;dl=0" xr:uid="{7AE4E50B-6042-C148-AACD-5B1ABC66EDEB}"/>
    <hyperlink ref="A645" r:id="rId809" display="https://www.dropbox.com/scl/fi/yiwsr67yv2d9sfml1q73r/40966.pdf?rlkey=3yugtf9f178u1ynx1c0m4qp42&amp;dl=0" xr:uid="{98912959-4E7D-2B4B-907A-6186F3AD9309}"/>
    <hyperlink ref="A646" r:id="rId810" display="https://www.dropbox.com/scl/fi/vcrfsby8x5mqqorsvd3st/40967.pdf?rlkey=wl9k4j05g3sot5za0jdr4sz58&amp;dl=0" xr:uid="{B44D7C7F-6381-844C-9F50-746F2D2968CA}"/>
    <hyperlink ref="A647" r:id="rId811" display="https://www.dropbox.com/scl/fi/k4erk0l5s9dejnazahft4/40971.pdf?rlkey=qkmclenaq1xxi18vd9qzv68hn&amp;dl=0" xr:uid="{564D1CDB-ED7C-AB44-99B3-1BD1D2563CFF}"/>
    <hyperlink ref="A648" r:id="rId812" display="https://www.dropbox.com/scl/fi/bya08ut83999e7xdjt81d/40972.pdf?rlkey=59p795ut3v8kwis11jjv5jt9x&amp;dl=0" xr:uid="{08DFE803-B3D8-DB4F-9F7F-1B55136F0007}"/>
    <hyperlink ref="A649" r:id="rId813" display="https://www.dropbox.com/scl/fi/oyu4h1t4fcorpfxufwdv1/40974.pdf?rlkey=e0yzs1aa2yu0cotg9d8hjb44p&amp;dl=0" xr:uid="{2B1495AC-1479-854B-A42F-05B03C557FD0}"/>
    <hyperlink ref="A650" r:id="rId814" display="https://www.dropbox.com/scl/fi/ksid671hss0f9ceegxkx2/40978.pdf?rlkey=je3wawnd28x2z2hsmzw43g8xx&amp;dl=0" xr:uid="{D40823DE-453B-CB4F-B6FC-221785510F85}"/>
    <hyperlink ref="A652" r:id="rId815" display="https://www.dropbox.com/scl/fi/w0v1mh3y2m9fsmkt6ouoe/40987.pdf?rlkey=w33kvf3s3jymqkmz1yzzksnfk&amp;dl=0" xr:uid="{F96C0F16-D365-C54E-836B-A2B0C1B710F1}"/>
    <hyperlink ref="A653" r:id="rId816" display="https://www.dropbox.com/scl/fi/7h47pkb18svukr1ovgnt5/40989.pdf?rlkey=lxfb92ihu4shm8lrm7r4f3k2i&amp;dl=0" xr:uid="{F89C19D3-AD28-9342-88C4-401BC5CB8AFC}"/>
    <hyperlink ref="A654" r:id="rId817" display="https://www.dropbox.com/scl/fi/lzbznjcur6s0lx3a7mp2m/40990.pdf?rlkey=f2c2tr7uwyb509gy95ojmbxb2&amp;dl=0" xr:uid="{59A2C98E-059E-0A4D-AA3F-D017D83A2E88}"/>
    <hyperlink ref="A656" r:id="rId818" display="https://www.dropbox.com/scl/fi/a1lkz9ey6gkqt9hbe3l6a/40993.pdf?rlkey=34194b04vp9pa6npsvynmf4uj&amp;dl=0" xr:uid="{11008FAC-2201-3646-B492-8823DA467D27}"/>
    <hyperlink ref="A663" r:id="rId819" display="https://www.dropbox.com/scl/fi/935kp241rsf5ooc6mlimr/41003.pdf?rlkey=8mwxze7fllmu3emwiqqdrq0k8&amp;dl=0" xr:uid="{22C72B68-4430-5C4A-B809-4CF427214C7B}"/>
    <hyperlink ref="A673" r:id="rId820" display="https://www.dropbox.com/scl/fi/e83rlq7h3zdxz3h16o4qj/41050.pdf?rlkey=639bk7kobffx5zehwf20r5rhi&amp;dl=0" xr:uid="{3FA2A765-459F-3240-999B-1B3EEC1B010E}"/>
    <hyperlink ref="A676" r:id="rId821" display="https://www.dropbox.com/scl/fi/7k64aijyq6k61ntgghts4/41053.pdf?rlkey=jnbli6s8k3nlyah99erws8j5e&amp;dl=0" xr:uid="{BDB60E01-9FCB-0142-8838-6B8A491B836D}"/>
    <hyperlink ref="A825" r:id="rId822" display="https://www.dropbox.com/scl/fi/y8uiw21meu308m5gakdyj/41389.pdf?rlkey=q1ijqbmkcpdo45zwa1525byiw&amp;dl=0" xr:uid="{7F3CEB96-06C6-C244-90B4-B75D63468112}"/>
    <hyperlink ref="A826" r:id="rId823" display="https://www.dropbox.com/scl/fi/r7jm0p8q2eqh53mvhbmi9/41391.pdf?rlkey=hi3369il35fu5hrg3e5vp5h6z&amp;dl=0" xr:uid="{E8CD51D0-9D7F-AF41-A7AF-894E90B99B5F}"/>
    <hyperlink ref="A827" r:id="rId824" display="https://www.dropbox.com/scl/fi/nr0rmi79kfzuqj2dufqum/41399.pdf?rlkey=l3momc1nq89h6fz9bqu0qrnhx&amp;dl=0" xr:uid="{8DE4FC63-2254-FE42-BB91-D1B82C1145D0}"/>
    <hyperlink ref="A828" r:id="rId825" display="https://www.dropbox.com/scl/fi/7b0t6dq8g4tyh61ty0eie/41403.pdf?rlkey=4xv0xiz7edjw7qvdhd3plkwcj&amp;dl=0" xr:uid="{2E5B80F1-C3FF-9D49-A73E-EB4CD39F95D7}"/>
    <hyperlink ref="A829" r:id="rId826" display="https://www.dropbox.com/scl/fi/l1m8wlhq5lmycxftlh6w7/41410.pdf?rlkey=ikgu2d60hocb2z50pi86585iq&amp;dl=0" xr:uid="{DA9BACD5-892A-F24A-A464-9EE58F3FA13F}"/>
    <hyperlink ref="A830" r:id="rId827" display="https://www.dropbox.com/scl/fi/i6vzfgjyongd7hrmyr5d0/41411.pdf?rlkey=ey1mfrobaub7safnax415f8cp&amp;dl=0" xr:uid="{80066FF9-F1B4-6046-BFBB-297802A87E12}"/>
    <hyperlink ref="A831" r:id="rId828" display="https://www.dropbox.com/scl/fi/9mtaolk63efgt4sbukxjk/41412.pdf?rlkey=82w01xl9ctxu2hrihxziv7w07&amp;dl=0" xr:uid="{9280DE95-E63F-1541-9CAF-0504740AB90E}"/>
    <hyperlink ref="A832" r:id="rId829" display="https://www.dropbox.com/scl/fi/nv0j5g7fe5pqhfoz5d3cq/41413.pdf?rlkey=cbi70wgwerx7tq3pew9ahkowq&amp;dl=0" xr:uid="{0E9CC4C7-82AF-9B43-9ED2-AA53B591C2E8}"/>
    <hyperlink ref="A833" r:id="rId830" display="https://www.dropbox.com/scl/fi/99d9qzoyyywgiqsuafxu8/41414.pdf?rlkey=vgk1drrpnmjy3d0raea4err83&amp;dl=0" xr:uid="{AE39A965-0E46-A94F-B9D4-E7AFC2932C84}"/>
    <hyperlink ref="A834" r:id="rId831" display="https://www.dropbox.com/scl/fi/v5cg5sjxi3hga1bv5fman/41415.pdf?rlkey=pgwpnapujpliq4iryto1mf815&amp;dl=0" xr:uid="{FD2BB167-72F8-954E-ABF6-03228057FC72}"/>
    <hyperlink ref="A835" r:id="rId832" display="https://www.dropbox.com/scl/fi/kfvwr70s1joi80jyb2qpi/41423.pdf?rlkey=8q6735eaclm5j4g6ao1tj01l6&amp;dl=0" xr:uid="{2D562963-6B28-104A-A712-82FFB68489D6}"/>
    <hyperlink ref="A836" r:id="rId833" display="https://www.dropbox.com/scl/fi/6alh44fdqaboe8fmz59yl/41425.pdf?rlkey=6bj5b0ehoifyxkqphwlneg56m&amp;dl=0" xr:uid="{2EF5165F-FBDB-1B46-95C0-FFB58CE5D4D0}"/>
    <hyperlink ref="A837" r:id="rId834" display="https://www.dropbox.com/scl/fi/5dfztiocou43me8nwueer/41426.pdf?rlkey=gjarfg80h94r55gdsslbx2pjo&amp;dl=0" xr:uid="{1AAE51D8-01F0-224B-91CC-FD65FC059D59}"/>
    <hyperlink ref="A838" r:id="rId835" display="https://www.dropbox.com/scl/fi/nav9brhnctdqq19aizby1/41437.pdf?rlkey=2miom7plcu0rvml6zlg14ggya&amp;dl=0" xr:uid="{126F35CF-61E5-1F4F-AA35-75CCFDA3DCFD}"/>
    <hyperlink ref="A839" r:id="rId836" display="https://www.dropbox.com/scl/fi/1nyme392cay50qy3ltkog/41438.pdf?rlkey=ipp053k7dbi9avsqiwbryl2e1&amp;dl=0" xr:uid="{9A4C6E2A-DA43-2A46-A5A1-514E02071154}"/>
    <hyperlink ref="A840" r:id="rId837" display="https://www.dropbox.com/scl/fi/nhrt4m275j0ihz8vd2ag2/41439.pdf?rlkey=5b2hle8msc7rzchkdg1r2avnt&amp;dl=0" xr:uid="{C8485433-5EDD-A349-8E26-8211F9E08D62}"/>
    <hyperlink ref="A841" r:id="rId838" display="https://www.dropbox.com/scl/fi/9eaa01k021jgqscqk7if1/41440.pdf?rlkey=aa3pc3nwm2a076cfexsvoiho7&amp;dl=0" xr:uid="{0920E571-004C-B94B-B8AD-309CE54DB182}"/>
    <hyperlink ref="A842" r:id="rId839" display="https://www.dropbox.com/scl/fi/0xsu7e4neobygjvqmukea/41443.pdf?rlkey=dstyiqzay5hjp4d0xl9dirhix&amp;dl=0" xr:uid="{08BE4FA7-0031-D641-B9BB-F3E45F1FBB00}"/>
    <hyperlink ref="A843" r:id="rId840" display="https://www.dropbox.com/scl/fi/b2qrk8muk2h6bbwmw5sns/41445.pdf?rlkey=v23x5iv4mo790fhwml7t220vv&amp;dl=0" xr:uid="{51BC0113-D285-284C-91D6-E7A7172D8C2C}"/>
    <hyperlink ref="A844" r:id="rId841" display="https://www.dropbox.com/scl/fi/5olp72s3w4ayga51ul3b3/41451.pdf?rlkey=jrtriz31vmrxjdsww67mkcsmf&amp;dl=0" xr:uid="{98EF0058-06C8-8C46-8C1A-53419B2683AC}"/>
    <hyperlink ref="A845" r:id="rId842" display="https://www.dropbox.com/scl/fi/simvs8ls6yyvn45gl0y4v/41452.pdf?rlkey=ww91z0w19guuqhk7adcr7dn6n&amp;dl=0" xr:uid="{4640F93A-86DB-D647-A73D-78BC48EFF00A}"/>
    <hyperlink ref="A846" r:id="rId843" display="https://www.dropbox.com/scl/fi/an3s6jbitrxlnb4om2pce/41453.pdf?rlkey=mbbfzlokbgrqevqtizev28f55&amp;dl=0" xr:uid="{ACB9CF30-AA6B-2845-9002-CD602080C1A5}"/>
    <hyperlink ref="A847" r:id="rId844" display="https://www.dropbox.com/scl/fi/mvw1ypnar1k0vmk9hy4i6/41455.pdf?rlkey=6ubcczlbyn6b6tvku475wbeyp&amp;dl=0" xr:uid="{1864AD94-2F09-EB4E-A802-3AD1515E8CAB}"/>
    <hyperlink ref="A848" r:id="rId845" display="https://www.dropbox.com/scl/fi/z24o0efqs9nqh87omps5y/41465.pdf?rlkey=y3c462uzln9dm0mvgn5md8tyq&amp;dl=0" xr:uid="{F2C4F605-BB1A-9F40-98E6-8303A0133398}"/>
    <hyperlink ref="A849" r:id="rId846" display="https://www.dropbox.com/scl/fi/bg3mmu3gskc4tmuk74dqt/41468.pdf?rlkey=534765ehvnyf2twwx0je8uzqw&amp;dl=0" xr:uid="{FF8507D8-FB8C-AB4E-9B40-18A7476925B9}"/>
    <hyperlink ref="A850" r:id="rId847" display="https://www.dropbox.com/scl/fi/0xq2tf4u3zxmraqxl83vu/41472.pdf?rlkey=ciwgrki14kg91jkqe652gmrkw&amp;dl=0" xr:uid="{4B756DFC-6BA4-1946-A33D-1467090D4F5F}"/>
    <hyperlink ref="A851" r:id="rId848" display="https://www.dropbox.com/scl/fi/ob45k63jgcjm53hq7y13i/41477.pdf?rlkey=ltaivabnhbrna4fr7wupo7ign&amp;dl=0" xr:uid="{133770AE-20FB-7A4E-92EB-11DE42F8E5DA}"/>
    <hyperlink ref="A852" r:id="rId849" display="https://www.dropbox.com/scl/fi/y1qtmvg3cwcbu5hmq424n/41478.pdf?rlkey=vcq85kwu6zeaqbx2n6h6a71lr&amp;dl=0" xr:uid="{8601FA50-76C7-414F-83B4-9FAFD662BA16}"/>
    <hyperlink ref="A853" r:id="rId850" display="https://www.dropbox.com/scl/fi/sc8avlmolw2dg2mqdgo13/41479.pdf?rlkey=xx90aaxc4fqoemgnheqv487mm&amp;dl=0" xr:uid="{D426D540-97AB-CD4C-84F6-B13CEC40829E}"/>
    <hyperlink ref="A854" r:id="rId851" display="https://www.dropbox.com/scl/fi/gauqi1vb0hn740c40bqsv/41490.pdf?rlkey=ixu133shyonj0dcot0arkck91&amp;dl=0" xr:uid="{7E237DD1-F21E-EB44-B9BA-EE257320CF71}"/>
    <hyperlink ref="A855" r:id="rId852" display="https://www.dropbox.com/scl/fi/dlqfngjphfyfkyrfpb1kb/41491.pdf?rlkey=xxo4wmp7maowl61nut9icrag6&amp;dl=0" xr:uid="{425C2377-C6C4-A447-951E-4F7F55A05B4A}"/>
    <hyperlink ref="A856" r:id="rId853" display="https://www.dropbox.com/scl/fi/du2ncyz1tdn3upvvxvn4v/41496.pdf?rlkey=gxgzozqok5ebk02zhonfcu8k4&amp;dl=0" xr:uid="{20F9B5A4-EF8B-064D-8DF8-3E4460EC2738}"/>
    <hyperlink ref="A857" r:id="rId854" display="https://www.dropbox.com/scl/fi/elmfdvtfrc23d4x0lr4jx/41497.pdf?rlkey=rlfu6lxrqyukvr7g6w5173n1y&amp;dl=0" xr:uid="{4C2262AD-EBF4-8144-9AA1-DEEDFC6F07C0}"/>
    <hyperlink ref="A858" r:id="rId855" display="https://www.dropbox.com/scl/fi/dlms3jev697frtcqhzrrl/41498.pdf?rlkey=p0pc2r3tqip97wvsb2fbq5btg&amp;dl=0" xr:uid="{1BB4AD35-85ED-FB4F-B9A3-5BDF10E63F5C}"/>
    <hyperlink ref="A859" r:id="rId856" display="https://www.dropbox.com/scl/fi/nnmf18e9cpfy1roykybw4/41506.pdf?rlkey=e8kynf6cgv77bg2nrq07a684b&amp;dl=0" xr:uid="{53474767-915D-D94C-AE25-DEABF2352924}"/>
    <hyperlink ref="A860" r:id="rId857" display="https://www.dropbox.com/scl/fi/ngeuife7c2dnt4eyzr1yg/41509.pdf?rlkey=5jb5hv2e312va6f1qrjo4kibx&amp;dl=0" xr:uid="{407DDED1-973A-5A46-BC94-6CD5FED723AE}"/>
    <hyperlink ref="A861" r:id="rId858" display="https://www.dropbox.com/scl/fi/ikhowvs5hqbkr30sd769b/41510.pdf?rlkey=3wha0uleryt8cjun02alf1ios&amp;dl=0" xr:uid="{B389262B-6F98-0F47-A1BE-20959948C7B4}"/>
    <hyperlink ref="A862" r:id="rId859" display="https://www.dropbox.com/scl/fi/yze6c6ncwu8vhml3s6qfx/41514.pdf?rlkey=rirq6oqiyrfezu1nbzze1donl&amp;dl=0" xr:uid="{5AAD95B3-F664-3040-BE4E-E7976F283416}"/>
    <hyperlink ref="A863" r:id="rId860" display="https://www.dropbox.com/scl/fi/2k5qjfbl9cs6xts7o772f/41515.pdf?rlkey=083eg14qmfza0tpyubi27xlov&amp;dl=0" xr:uid="{873F791D-2B1E-AA44-A25E-FF24D283E467}"/>
    <hyperlink ref="A864" r:id="rId861" display="https://www.dropbox.com/scl/fi/cqwrqnczftsmfsvbajmz4/41516.pdf?rlkey=1wflct17u5ncqskbhg0e1hxb0&amp;dl=0" xr:uid="{1FF4DE44-4EFF-3D40-AF26-B24E22CB2A80}"/>
    <hyperlink ref="A865" r:id="rId862" display="https://www.dropbox.com/scl/fi/w4mpzbp488l5udos5w7uf/41517.pdf?rlkey=7xbhl59ttal9u5tcu7rgrom5s&amp;dl=0" xr:uid="{61C3C31B-90FE-8845-AF58-14B4037A8FA1}"/>
    <hyperlink ref="A866" r:id="rId863" display="https://www.dropbox.com/scl/fi/kgkb3li9onepujzowhw5j/41525.pdf?rlkey=iwa6zkpvknqc2o0h8kehs94vb&amp;dl=0" xr:uid="{E34D2690-1EC2-5B46-9ECD-B942DB45FD4B}"/>
    <hyperlink ref="A867" r:id="rId864" display="https://www.dropbox.com/scl/fi/uz52im4iohfcm96ppd2m4/41526.pdf?rlkey=xv7wi2i1yspjd7l4rc49g3t3l&amp;dl=0" xr:uid="{C40C2C32-75C7-3443-BDA8-B207295FF579}"/>
    <hyperlink ref="A868" r:id="rId865" display="https://www.dropbox.com/scl/fi/10t18sj56rqkww14qy3xy/41527.pdf?rlkey=jq1cz38lteeghgf1ftny68dlg&amp;dl=0" xr:uid="{03DC9852-14DC-4145-9E5A-21F2CD6D60E9}"/>
    <hyperlink ref="A869" r:id="rId866" display="https://www.dropbox.com/scl/fi/90w3kf5extohz36qvqljg/41528.pdf?rlkey=5jg9pdlr3e1nmyr1auzk92xp5&amp;dl=0" xr:uid="{93521C3F-219C-424A-A6F2-80C55FF73910}"/>
    <hyperlink ref="A870" r:id="rId867" display="https://www.dropbox.com/scl/fi/eejld70i3szzujy5000kg/41530.pdf?rlkey=x9i9zp0zasg9d5buzd7vluikg&amp;dl=0" xr:uid="{502CF185-45A9-2F4E-B272-356E68FC722F}"/>
    <hyperlink ref="A871" r:id="rId868" display="https://www.dropbox.com/scl/fi/8k07qab4s1slldv9txt8g/41532.pdf?rlkey=a1yt7cbtkyxntmj7txvmkp0t5&amp;dl=0" xr:uid="{43436459-EED7-8E4E-8A5F-4E453D0296B6}"/>
    <hyperlink ref="A872" r:id="rId869" display="https://www.dropbox.com/scl/fi/h1pm8ba9kpsawnbietnt3/41533.pdf?rlkey=tr6m0jjnq56t159abzfgya63y&amp;dl=0" xr:uid="{F630B3FD-DF2F-8B45-8D87-7CF86E3F534B}"/>
    <hyperlink ref="A873" r:id="rId870" display="https://www.dropbox.com/scl/fi/geip7vai3zjjgkjjsuvx0/41536.pdf?rlkey=5w0n2gff9rj1ttmh25wmdpdhf&amp;dl=0" xr:uid="{1FCC2C59-3DAA-5449-9164-115B8B3DBFB3}"/>
    <hyperlink ref="A874" r:id="rId871" display="https://www.dropbox.com/scl/fi/s3cvpp2fi5wwc09wx5y2m/41537.pdf?rlkey=n9tunjmtmdeysio90on1tdt25&amp;dl=0" xr:uid="{BAAF3427-EA87-3848-9CEF-95B7F9086B7D}"/>
    <hyperlink ref="A875" r:id="rId872" display="https://www.dropbox.com/scl/fi/cbaypl6j0d7p1c4yv4fol/41538.pdf?rlkey=6xxylmq8mmtso2ntcoteszc1j&amp;dl=0" xr:uid="{2D0A5DF3-B60E-B148-9B32-82949E7C8D5B}"/>
    <hyperlink ref="A876" r:id="rId873" display="https://www.dropbox.com/scl/fi/72jueeawjp9l1dhm1d7rs/41539.pdf?rlkey=40dp3lraaq05g1an28r5junoc&amp;dl=0" xr:uid="{637BDB6C-217E-144B-9F95-3F0AE6ED90E6}"/>
    <hyperlink ref="A877" r:id="rId874" display="https://www.dropbox.com/scl/fi/68hufkubanvt098gkb3cs/41540.pdf?rlkey=1fyro58hx0r4rjrmk6q12ki02&amp;dl=0" xr:uid="{DFAABF2B-52C8-2A42-9A1B-2152583A4853}"/>
    <hyperlink ref="A878" r:id="rId875" display="https://www.dropbox.com/scl/fi/729d6rqg3pq8u5x95q3ne/41541.pdf?rlkey=lxtstb7js5skku9301oxxbg4f&amp;dl=0" xr:uid="{7D28897E-DC50-B143-B22E-3FF49B8A2AF3}"/>
    <hyperlink ref="A879" r:id="rId876" display="https://www.dropbox.com/scl/fi/xpavlqw0psb35d1sb2kjf/41544.pdf?rlkey=7la1smvijazo4mdl0wr6nw8hv&amp;dl=0" xr:uid="{7143A58B-7925-2543-8A84-A7A0797C8A0B}"/>
    <hyperlink ref="A880" r:id="rId877" display="https://www.dropbox.com/scl/fi/yatuka8ujz4bp9grw1je1/41545.pdf?rlkey=9d5c6k5xspo4epr5k1fwsu0qt&amp;dl=0" xr:uid="{31AE6F75-356F-E546-B9A6-A95E8ECB208F}"/>
    <hyperlink ref="A881" r:id="rId878" display="https://www.dropbox.com/scl/fi/nee177m853hn3o9wf1otg/41546.pdf?rlkey=7agf55je8hwj7biooy7wgzkm4&amp;dl=0" xr:uid="{6099B184-BF5E-9E4D-93E2-920B0A5C00FD}"/>
    <hyperlink ref="A882" r:id="rId879" display="https://www.dropbox.com/scl/fi/gpvli79xjtnlcgx68uhn7/41547.pdf?rlkey=y2gohiwh19pcoo1zyl71dn1nz&amp;dl=0" xr:uid="{882FC680-AC56-B443-9EA2-EEAB75A56959}"/>
    <hyperlink ref="A883" r:id="rId880" display="https://www.dropbox.com/scl/fi/g65k9jqkwns3jzn24ds1f/41548.pdf?rlkey=3usc9wvn18l2b183mwqz837b5&amp;dl=0" xr:uid="{50FFCAA1-7089-7545-A86F-CEC634AC6943}"/>
    <hyperlink ref="A884" r:id="rId881" display="https://www.dropbox.com/scl/fi/8t710oq2wbn4rvyiscenq/41549.pdf?rlkey=xmbz0c17jujz9lanai07m6wy7&amp;dl=0" xr:uid="{FCD91920-AB45-8143-8913-CADCB726E4F7}"/>
    <hyperlink ref="A885" r:id="rId882" display="https://www.dropbox.com/scl/fi/fg30buogtnbfyesrlw8e0/41552.pdf?rlkey=ev2yy4hplv49zapl408ycptxc&amp;dl=0" xr:uid="{82CEC176-8822-1E42-9653-015F290B54C2}"/>
    <hyperlink ref="A886" r:id="rId883" display="https://www.dropbox.com/scl/fi/1ynqvkw7rzptj1huraq1h/41553.pdf?rlkey=f4cn7gb20ldl9c8hps67meqbw&amp;dl=0" xr:uid="{D71386EF-E4E8-1A47-BED8-A9F309C27413}"/>
    <hyperlink ref="A887" r:id="rId884" display="https://www.dropbox.com/scl/fi/ga8eshzgf1sgdujnxgcbn/41554.pdf?rlkey=cxz9qkf5n9u5a6nyzf5yftq1h&amp;dl=0" xr:uid="{BAA7F1EA-EB4B-7A49-8A9B-89C4D0EEF4C8}"/>
    <hyperlink ref="A888" r:id="rId885" display="https://www.dropbox.com/scl/fi/iqwspu5r3xqy508a7qbls/41555.pdf?rlkey=asoc79mh8c0w0zj7yrq0yg6pp&amp;dl=0" xr:uid="{DE870672-F8B1-6B44-8E82-B700E3726457}"/>
    <hyperlink ref="A889" r:id="rId886" display="https://www.dropbox.com/scl/fi/abepzo7ayqw10jbabid9o/41557.pdf?rlkey=1zfm7a4ydzvenf06qchd0ftj6&amp;dl=0" xr:uid="{AB037C74-4AA7-4344-AD40-98E90C464F55}"/>
    <hyperlink ref="A890" r:id="rId887" display="https://www.dropbox.com/scl/fi/an0x69198jmcuvzikttl1/41558.pdf?rlkey=j5pzbw6bfzpi0y37kniuxh2d3&amp;dl=0" xr:uid="{4EC2E829-F623-B246-B338-5D7A53D859C5}"/>
    <hyperlink ref="A891" r:id="rId888" display="https://www.dropbox.com/scl/fi/b86tx4rrxgm2cumyxrs4v/41559.pdf?rlkey=a1co4diue1idr599bonoreagx&amp;dl=0" xr:uid="{1BA3F2B1-4F54-AE45-9FF9-C7B859763F3C}"/>
    <hyperlink ref="A892" r:id="rId889" display="https://www.dropbox.com/scl/fi/c0l4clg1yztkvh52xa55w/41565.pdf?rlkey=zj5bbpqm8oiiwf7r5ew2dxsg0&amp;dl=0" xr:uid="{DACD4B0D-4D9F-2E46-AC67-4D23FD11BAEA}"/>
    <hyperlink ref="A893" r:id="rId890" display="https://www.dropbox.com/scl/fi/rq9lnpqsfwpvy3z3og5wz/41566.pdf?rlkey=eju6gb33vpzgdj5r14i180vpz&amp;dl=0" xr:uid="{20DD2C7E-5F97-1F47-93BF-50276AB29A9E}"/>
    <hyperlink ref="A894" r:id="rId891" display="https://www.dropbox.com/scl/fi/02nqcmmca4byeecuhzxtf/41567.pdf?rlkey=a2qd8whj43u8wibjm8frgo9jj&amp;dl=0" xr:uid="{CA3D959E-5283-684D-A181-1AD11CAD9E77}"/>
    <hyperlink ref="A895" r:id="rId892" display="https://www.dropbox.com/scl/fi/y5cr1yotqaydcyeprcqno/41568.pdf?rlkey=v3pnkkk2s4c0xxp50adrsx3jn&amp;dl=0" xr:uid="{34765653-4814-9048-A6DF-1D1E9E914D3D}"/>
    <hyperlink ref="A896" r:id="rId893" display="https://www.dropbox.com/scl/fi/g2yhsr9kkb58adzi339pm/41569.pdf?rlkey=t1rmjl61h0uxj0lxjm0skkgw1&amp;dl=0" xr:uid="{5F534DF3-808A-0F47-8ABD-2B58D7A409C2}"/>
    <hyperlink ref="A897" r:id="rId894" display="https://www.dropbox.com/scl/fi/ljvy5l6in7z7hnu6h9ea2/41570.pdf?rlkey=52kevwqk48o2c27kfp3es6u67&amp;dl=0" xr:uid="{AF1C90A5-2236-F24F-B124-1AA46A17055E}"/>
    <hyperlink ref="A898" r:id="rId895" display="https://www.dropbox.com/scl/fi/uy9s8j4gs04odu8yqvicg/41571.pdf?rlkey=vzdwbrfvtvi5nwqwz2365d043&amp;dl=0" xr:uid="{1FBDD38E-DB5E-844F-9E13-463885F4A5CB}"/>
    <hyperlink ref="A899" r:id="rId896" display="https://www.dropbox.com/scl/fi/9gygazahbvt3xgjfmd3oq/41576.pdf?rlkey=jogo3rhkgdmum7mlcuitghgix&amp;dl=0" xr:uid="{5A6CAF5E-F1D3-B64C-9634-5F501081A3B1}"/>
    <hyperlink ref="A900" r:id="rId897" display="https://www.dropbox.com/scl/fi/9omfhfsryqy3zk9q957ky/41579.pdf?rlkey=25nkzps0fvoiwvxl1ri1rtp9v&amp;dl=0" xr:uid="{C13FEA56-3E3D-9740-AF9A-E8F09F31D77C}"/>
    <hyperlink ref="A901" r:id="rId898" display="https://www.dropbox.com/scl/fi/0clp0t6fkm6ti9u9lt8w7/41581.pdf?rlkey=2v2b7sydg82pcs2wbddam4x5a&amp;dl=0" xr:uid="{074F8C2E-F511-004E-9CB9-38304F18774E}"/>
    <hyperlink ref="A902" r:id="rId899" display="https://www.dropbox.com/scl/fi/fa9d6vhctucazst193p3m/41582.pdf?rlkey=ez7ylutje9m51xub8bpbg5hh4&amp;dl=0" xr:uid="{31002A0F-26C1-DE4F-BC1B-333B5A9D9CDA}"/>
    <hyperlink ref="A903" r:id="rId900" display="https://www.dropbox.com/scl/fi/9h8u2ogxi2r1ks47jiwwi/41589.pdf?rlkey=tm1ey4zoji3ck5ch38ihfzfmv&amp;dl=0" xr:uid="{ECA79FF7-918A-D44B-B832-CD25F40D2866}"/>
    <hyperlink ref="A904" r:id="rId901" display="https://www.dropbox.com/scl/fi/l6av346x9ditwwn4lw3ba/41590.pdf?rlkey=238wdc5nbi7jmhv13ogbfxza0&amp;dl=0" xr:uid="{40774676-30B6-A14A-B631-F652F9FCCA3C}"/>
    <hyperlink ref="A905" r:id="rId902" display="https://www.dropbox.com/scl/fi/2xcj88hooz7lvqfkry80j/41591.pdf?rlkey=dc0fmhx2neuk8nerft3j2520g&amp;dl=0" xr:uid="{0BFE5C02-5BB0-AB4E-AF5F-D04D3FD2D9F8}"/>
    <hyperlink ref="A906" r:id="rId903" display="https://www.dropbox.com/scl/fi/2t6026qp4y2qz8l9bqttp/41592.pdf?rlkey=9g26ob9qf16sdhsjxkhzpdzr2&amp;dl=0" xr:uid="{544F2837-580D-4E49-B436-30D95FBA978E}"/>
    <hyperlink ref="A907" r:id="rId904" display="https://www.dropbox.com/scl/fi/ui2z7tgxh4ewb7114na76/41593.pdf?rlkey=j05vh3l11e33mjgsgaioj9ucq&amp;dl=0" xr:uid="{ECA1DFF0-0485-1646-BB58-3FD7F63DB5FC}"/>
    <hyperlink ref="A908" r:id="rId905" display="https://www.dropbox.com/scl/fi/kx44nlpjygj6thwn5p0p9/41598.pdf?rlkey=n7ijh752mrk8uktp96t5teluk&amp;dl=0" xr:uid="{C7FE60B2-BE1F-8A41-A8DA-30227B91C2FE}"/>
    <hyperlink ref="A909" r:id="rId906" display="https://www.dropbox.com/scl/fi/g2zbcissbes8dya7m7o9d/41599.pdf?rlkey=iu08k8z1db5nlvekqe1hw21g8&amp;dl=0" xr:uid="{1D805C90-7DCD-9946-8D16-D1A7486D220C}"/>
    <hyperlink ref="A910" r:id="rId907" display="https://www.dropbox.com/scl/fi/cop9er6mhhggf2vrf3o0i/41600.pdf?rlkey=zqwkt59oi0uqpkxsc3marvqdq&amp;dl=0" xr:uid="{5F090E92-1D98-0547-9C35-A2666F581787}"/>
    <hyperlink ref="A911" r:id="rId908" display="https://www.dropbox.com/scl/fi/6dv96n3m0qj1npw19xew0/41601.pdf?rlkey=0rpy8m059y090gdkdn6u5t44b&amp;dl=0" xr:uid="{5C215764-E89A-F84E-B855-B2464DD77D9B}"/>
    <hyperlink ref="A912" r:id="rId909" display="https://www.dropbox.com/scl/fi/g6ph654diltv6e7kslnrq/41602.pdf?rlkey=rw3kqc2oqs8aupxi3igeayb6w&amp;dl=0" xr:uid="{0EA5833F-53CD-C246-8BC9-B95FF84A564A}"/>
    <hyperlink ref="A913" r:id="rId910" display="https://www.dropbox.com/scl/fi/izw6nhq6nr2gcxjuwr5zf/41603.pdf?rlkey=bf3e5yd8f12pm4u2agtvzslri&amp;dl=0" xr:uid="{FEF19D81-7257-8C43-9117-36FFBA98047E}"/>
    <hyperlink ref="A914" r:id="rId911" display="https://www.dropbox.com/scl/fi/zgudtfpnbi6r7h6tdqaa4/41604.pdf?rlkey=6s6j2k7d7a55neynz6m4adyw2&amp;dl=0" xr:uid="{0EBE2B68-408D-624E-8638-50F494F340D3}"/>
    <hyperlink ref="A915" r:id="rId912" display="https://www.dropbox.com/scl/fi/vcddv9xzur6u226tcm37o/41605.pdf?rlkey=oyhm5rofh1b56nbn2es8lvohu&amp;dl=0" xr:uid="{39537EA7-F955-8F43-81B3-75AB4F8CED26}"/>
    <hyperlink ref="A916" r:id="rId913" display="https://www.dropbox.com/scl/fi/s2tqavtojarm261zciir6/41606.pdf?rlkey=616a4syv0149l3kh7aocoy6tn&amp;dl=0" xr:uid="{2D3E9503-6CE1-724E-B3D0-E8B2FBC9FE73}"/>
    <hyperlink ref="A917" r:id="rId914" display="https://www.dropbox.com/scl/fi/6964a2fraxr2j9xtm1a57/41607.pdf?rlkey=hul4f86u9gnci0zilruvwecp7&amp;dl=0" xr:uid="{5809CF35-09E0-F34C-8FBA-DB0316EE07E4}"/>
    <hyperlink ref="A918" r:id="rId915" display="https://www.dropbox.com/scl/fi/nd1ig8auc66bllypowlm0/41608.pdf?rlkey=v4vcq4bbv0n6zqlkxfz4xledg&amp;dl=0" xr:uid="{169CAFAE-18B5-3044-83A1-FA61B89348B1}"/>
    <hyperlink ref="A919" r:id="rId916" display="https://www.dropbox.com/scl/fi/xxxxiuvh612jr8w7d1mrw/41609.pdf?rlkey=w9eyinjd45a52j2dbx2f6609b&amp;dl=0" xr:uid="{780EDAF4-E982-774A-9725-C9AE93300CD1}"/>
    <hyperlink ref="A920" r:id="rId917" display="https://www.dropbox.com/scl/fi/oaor3l0je9gyhj5id3859/41610.pdf?rlkey=ssqlodpgn67sxjk5ah6mr2tp4&amp;dl=0" xr:uid="{3AD64623-31B6-2E43-8D68-6D7E693A7D7E}"/>
    <hyperlink ref="A921" r:id="rId918" display="https://www.dropbox.com/scl/fi/gjam2hgefi37wgwmt6fs0/41611.pdf?rlkey=vi9gr1x775rh8wrtpjlgrv2cu&amp;dl=0" xr:uid="{72D95466-56F3-0F43-BF99-B98E71F38A68}"/>
    <hyperlink ref="A922" r:id="rId919" display="https://www.dropbox.com/scl/fi/4sw8lsvaoye427003tn78/41623.pdf?rlkey=nvjaufyg7e7brvh4bcrkgo5hb&amp;dl=0" xr:uid="{75D95881-1B01-C944-AA0A-B639A91C2F83}"/>
    <hyperlink ref="A923" r:id="rId920" display="https://www.dropbox.com/scl/fi/8ozbuacpfo9bu9bahtab1/41624.pdf?rlkey=dpdtxdhixx32m21zl4vc4pl3c&amp;dl=0" xr:uid="{A30FAD81-7424-CD44-B054-580F0ED555E8}"/>
    <hyperlink ref="A924" r:id="rId921" display="https://www.dropbox.com/scl/fi/y5rzrevxpuzhgk5apkxv0/41633.pdf?rlkey=nu7pabfflktidacmw3s2kftaq&amp;dl=0" xr:uid="{EAF2A3E5-36A9-F04A-A1DA-D97DFCCA7FBD}"/>
    <hyperlink ref="A925" r:id="rId922" display="https://www.dropbox.com/scl/fi/k6hkd2ckqf8idf5fhalsq/41634.pdf?rlkey=nko93y7n44846bqb4y1023s0x&amp;dl=0" xr:uid="{E253DE18-5C3D-C543-A724-727589AF580E}"/>
    <hyperlink ref="A926" r:id="rId923" display="https://www.dropbox.com/scl/fi/268wrnjaprs4y3dc1zk6c/41635.pdf?rlkey=bjn04hqk8vryguq2kq03dtyww&amp;dl=0" xr:uid="{1DA55EA3-60F1-7640-A7C5-2A3043B942A5}"/>
    <hyperlink ref="A927" r:id="rId924" display="https://www.dropbox.com/scl/fi/ydg6wywqzn0ammqs4cvtn/41636.pdf?rlkey=5ji49dydevolaul92lsq9tjd4&amp;dl=0" xr:uid="{72F6E762-BA58-D64E-B8F7-CAEEEF45F136}"/>
    <hyperlink ref="A928" r:id="rId925" display="https://www.dropbox.com/scl/fi/hq02edoj6schn9yt2u711/41637.pdf?rlkey=4tkdz8fwwj9d1eibjiqi53cqw&amp;dl=0" xr:uid="{DF052AA7-BE53-C14E-8613-B144DF11547A}"/>
    <hyperlink ref="A929" r:id="rId926" display="https://www.dropbox.com/scl/fi/g89g51f1vum8dc5got6c5/41640.pdf?rlkey=7nz7z4sfeulqm4bc8tenc0kxp&amp;dl=0" xr:uid="{CA6B9230-C2C7-DB43-A04B-48816ACB52C7}"/>
    <hyperlink ref="A930" r:id="rId927" display="https://www.dropbox.com/scl/fi/31gr9vo3x241ptedbh21c/41641.pdf?rlkey=ndha0e5jxrfn94lb11vj17i5q&amp;dl=0" xr:uid="{3A09D7E6-2BC3-9548-9809-7D987B8BC062}"/>
    <hyperlink ref="A931" r:id="rId928" display="https://www.dropbox.com/scl/fi/simm1q8duglyrhqsyyw0p/41642.pdf?rlkey=xx4udbhsk2zqgbs80jloi99eg&amp;dl=0" xr:uid="{B7075AAE-5175-3A48-8139-4620F89947F2}"/>
    <hyperlink ref="A932" r:id="rId929" display="https://www.dropbox.com/scl/fi/6i28siw6hv6elg87iyzyu/41643.pdf?rlkey=umxqptks5ibbjq75d52pwljzf&amp;dl=0" xr:uid="{4AA44FBD-4496-DD4C-BDC2-94CCB0A79F3D}"/>
    <hyperlink ref="A933" r:id="rId930" display="https://www.dropbox.com/scl/fi/d7w4pl0dtadf80ykkicfx/41645.pdf?rlkey=0e8dkjva9l4faziarvp4g1yj7&amp;dl=0" xr:uid="{4784FFC1-68AE-C146-B077-C47A9B839C77}"/>
    <hyperlink ref="A934" r:id="rId931" display="https://www.dropbox.com/scl/fi/pzx2rnbp7t6vdgsfzr8ea/41649.pdf?rlkey=2a6wqrxv6k8h3h44u41bc616k&amp;dl=0" xr:uid="{8A7D8D5C-C209-2C45-9049-5ACFE475964A}"/>
    <hyperlink ref="A935" r:id="rId932" display="https://www.dropbox.com/scl/fi/fbulp5960deyu94traj6g/41651.pdf?rlkey=3qbp4o5h7b4as77oaaxrws92j&amp;dl=0" xr:uid="{34C61AF0-10A1-8846-9FFB-A083732170E6}"/>
    <hyperlink ref="A936" r:id="rId933" display="https://www.dropbox.com/scl/fi/cts4z5m7ef9dqystkgn4r/41654.pdf?rlkey=8jbwx4grkgjrz103zau07v2sl&amp;dl=0" xr:uid="{CFFFF0AA-B327-4C4B-84E4-1837EEF32ECF}"/>
    <hyperlink ref="A937" r:id="rId934" display="https://www.dropbox.com/scl/fi/j6axr13mh5kxixjbxaf2j/41655.pdf?rlkey=qjhe5of2kuvyvwkz3dxwyxib0&amp;dl=0" xr:uid="{3DF1A221-A141-7945-881D-F02555BC07E4}"/>
    <hyperlink ref="A938" r:id="rId935" display="https://www.dropbox.com/scl/fi/9194dl5frmih3t4zvxsc3/41657.pdf?rlkey=b80mi5fqiyek9uj6sb2u2e1rm&amp;dl=0" xr:uid="{EFAA6A1C-F7E8-6943-9F6D-31C29B415F2B}"/>
    <hyperlink ref="A939" r:id="rId936" display="https://www.dropbox.com/scl/fi/w7r0oi0y14kvx3aiaw5au/41659.pdf?rlkey=nrga1d1934zgryeew6pbjkn6d&amp;dl=0" xr:uid="{FC0A706E-124A-0644-83E9-4F4B878B30D9}"/>
    <hyperlink ref="A940" r:id="rId937" display="https://www.dropbox.com/scl/fi/374cyx8erussrjyex8wrr/41663.pdf?rlkey=ahhrawdyl768j9aqkmq8mvc3s&amp;dl=0" xr:uid="{29675409-5113-6E40-A186-C173A5A28C68}"/>
    <hyperlink ref="A941" r:id="rId938" display="https://www.dropbox.com/scl/fi/7mgz3fv4mk0y8hur1ri9l/41665.pdf?rlkey=ojp81ezfofkyev7lxxzt1ntkl&amp;dl=0" xr:uid="{50150678-8A82-7640-B074-A59E0B13B074}"/>
    <hyperlink ref="A942" r:id="rId939" display="https://www.dropbox.com/scl/fi/8fibexppudvu3z37vgm3f/41670.pdf?rlkey=qnyv26dimuarucgxkg830u22v&amp;dl=0" xr:uid="{7E6B8A9E-E977-4F49-A2C2-B5E4D70D1DF9}"/>
    <hyperlink ref="A943" r:id="rId940" display="https://www.dropbox.com/scl/fi/sr1119981wjk1f3rmhlh7/41671.pdf?rlkey=kifssee5p8nnz0oyfozy5zo7g&amp;dl=0" xr:uid="{06BD6562-5B5B-AF47-9D1D-AD0351EFD879}"/>
    <hyperlink ref="A944" r:id="rId941" display="https://www.dropbox.com/scl/fi/ghlgfgi8hg6pvb8bi3r07/41672.pdf?rlkey=7aioduvcammhxly5nne8suswc&amp;dl=0" xr:uid="{DBFCB74A-7B41-8543-BF43-87310EBEA10F}"/>
    <hyperlink ref="A945" r:id="rId942" display="https://www.dropbox.com/scl/fi/3g0dpeht8rvdbtn0en906/41673.pdf?rlkey=4p0hxbksi88g6lfx3cxtnovwz&amp;dl=0" xr:uid="{871BCCD0-3B07-444A-89B3-650570E4AB6C}"/>
    <hyperlink ref="A946" r:id="rId943" display="https://www.dropbox.com/scl/fi/mz2rv3lh3733wi130nxqi/41674.pdf?rlkey=l67docskb5cj4yuom586fxkl2&amp;dl=0" xr:uid="{FA037249-C407-4044-9568-F6C73704575C}"/>
    <hyperlink ref="A947" r:id="rId944" display="https://www.dropbox.com/scl/fi/95rvx3fcn446613yx1tl2/41677.pdf?rlkey=albfkcati2yhrlu4z3p49s6ue&amp;dl=0" xr:uid="{BF287D52-CDD9-9A4C-9838-DDD8948B81C3}"/>
    <hyperlink ref="A948" r:id="rId945" display="https://www.dropbox.com/scl/fi/kadaxn9lpxkkwdwghwv7d/41679.pdf?rlkey=vf81k3d90zxbn5icyvgtb7zqf&amp;dl=0" xr:uid="{4DB11C7F-F8D6-8841-BC84-A0F90E2F8756}"/>
    <hyperlink ref="A949" r:id="rId946" display="https://www.dropbox.com/scl/fi/xl7doa2gal9ut620491or/41680.pdf?rlkey=hup8w6esjsyqm7g60c5sp4rqd&amp;dl=0" xr:uid="{07470FBF-3A6B-624B-BA01-B3836ECEBDEB}"/>
    <hyperlink ref="A950" r:id="rId947" display="https://www.dropbox.com/scl/fi/a5rnvmeqv8rbihlp9gvud/41682.pdf?rlkey=t3c6so88iit02gjepfanld2nk&amp;dl=0" xr:uid="{7C127B33-A33D-9149-8995-0C247F63526F}"/>
    <hyperlink ref="A951" r:id="rId948" display="https://www.dropbox.com/scl/fi/qpw79ywf40spbm8vffih1/41683.pdf?rlkey=sac9h6fqqv742tc3upc5fsjrs&amp;dl=0" xr:uid="{15D9885F-D4C3-9640-9712-ABC9990DF105}"/>
    <hyperlink ref="A952" r:id="rId949" display="https://www.dropbox.com/scl/fi/kuxxltyntqkupzfu0g6hi/41684.pdf?rlkey=v66jsxb742t5lt9upddypoda7&amp;dl=0" xr:uid="{32EF228B-BF15-D44A-9D1B-8B609E2C4E2F}"/>
    <hyperlink ref="A953" r:id="rId950" display="https://www.dropbox.com/scl/fi/hulx0pm5ho5z9jxbm9wxd/41685.pdf?rlkey=50btuh329k46gkdzf2r18rhkb&amp;dl=0" xr:uid="{5B3D2BF3-18D9-8748-BEB6-9AF440A1F3D7}"/>
    <hyperlink ref="A954" r:id="rId951" display="https://www.dropbox.com/scl/fi/8d18qv81ygk54cpwbasu2/41686.pdf?rlkey=a8hruoa3scuv5am46rxtrjxft&amp;dl=0" xr:uid="{B7A4FF1E-BA6A-3748-A325-7EB27A66BD98}"/>
    <hyperlink ref="A955" r:id="rId952" display="https://www.dropbox.com/scl/fi/9cpfqhauy8raeqni0dskr/41687.pdf?rlkey=p34tr0benw7nzrwq6fw62hzxt&amp;dl=0" xr:uid="{38C8FBC1-5112-8246-BC16-6B468F1F1254}"/>
    <hyperlink ref="A956" r:id="rId953" display="https://www.dropbox.com/scl/fi/zrlqgkqgoxcpdu5n7puna/41688.pdf?rlkey=h4sqri35m3yl8cd28a46culs4&amp;dl=0" xr:uid="{3716140A-7A54-8E4E-A277-4017ECD3C3D4}"/>
    <hyperlink ref="A957" r:id="rId954" display="https://www.dropbox.com/scl/fi/wbk7e1qb0578g1j52gmjc/41689.pdf?rlkey=hnoa8g4hxezcj43frhl7h1gye&amp;dl=0" xr:uid="{8AE4B8BE-696A-1C4E-A046-0A59ECD0DC27}"/>
    <hyperlink ref="A958" r:id="rId955" display="https://www.dropbox.com/scl/fi/gtaw70835dtfxgcz9j3s8/41690.pdf?rlkey=tj9b96pn2pritmxgqw8rb48ge&amp;dl=0" xr:uid="{15BD49EF-DF8A-CC4B-B8EE-3673D69DF9EE}"/>
    <hyperlink ref="A959" r:id="rId956" display="https://www.dropbox.com/scl/fi/jt1vr03voc2nkewww8676/41691.pdf?rlkey=n2kannhm29wm52ly47nebngwq&amp;dl=0" xr:uid="{0455972B-7F8C-5B40-9BE9-52448114655A}"/>
    <hyperlink ref="A960" r:id="rId957" display="https://www.dropbox.com/scl/fi/7042kt6q3ljlr44rqy332/41692.pdf?rlkey=cexxpvkdb1dkw54kzcabq0nuj&amp;dl=0" xr:uid="{2B671A4D-7450-9C46-B11E-B1801391007E}"/>
    <hyperlink ref="A961" r:id="rId958" display="https://www.dropbox.com/scl/fi/r0k7ugzia4jnenjisow64/41697.pdf?rlkey=unfksdjyjhltd3gexc9wo47av&amp;dl=0" xr:uid="{3FB44CB3-23EB-A44D-9108-CB4FC4B24DA2}"/>
    <hyperlink ref="A962" r:id="rId959" display="https://www.dropbox.com/scl/fi/9ngb4o8aa15i2ydvwp961/41698.pdf?rlkey=g2xxnsw0tre1ku809ijyo5wd8&amp;dl=0" xr:uid="{0F1D152C-71DF-DE47-B68D-489B1D7EB5EF}"/>
    <hyperlink ref="A963" r:id="rId960" display="https://www.dropbox.com/scl/fi/xd720ndx0cz9kd7wczo0t/41699.pdf?rlkey=vl48953veeb7501bq1r3dul61&amp;dl=0" xr:uid="{77EC28BA-7239-AE4A-9A45-91F4603AEC99}"/>
    <hyperlink ref="A964" r:id="rId961" display="https://www.dropbox.com/scl/fi/pssx59i3yxd9abppcpwn4/41700.pdf?rlkey=xzykky01wu1im60kz9xl6chwm&amp;dl=0" xr:uid="{FAB38A2A-3E3D-AA4C-B6B4-D21DBDE894D7}"/>
    <hyperlink ref="A965" r:id="rId962" display="https://www.dropbox.com/scl/fi/1lxto675nyvq3foogb8cz/41701.pdf?rlkey=3s4ta665j1qmy3y237voq57ze&amp;dl=0" xr:uid="{868FCD05-D988-6847-A426-245EBE940EAF}"/>
    <hyperlink ref="A966" r:id="rId963" display="https://www.dropbox.com/scl/fi/1r9eoadvfkfcvtehx2qr8/41702.pdf?rlkey=l4df69g88f27m6cw0i1waffws&amp;dl=0" xr:uid="{D15AB19B-57D5-1C44-8106-D902FF8F59CC}"/>
    <hyperlink ref="A967" r:id="rId964" display="https://www.dropbox.com/scl/fi/iza817569e4gkreygny0e/41703.pdf?rlkey=tmk397f7pw81bu8ijq5npdc56&amp;dl=0" xr:uid="{018822D0-F37C-D042-A67E-BEE08A327BAF}"/>
    <hyperlink ref="A968" r:id="rId965" display="https://www.dropbox.com/scl/fi/ylepb5hzhtwblng0uns0l/41704.pdf?rlkey=pqon5a5mg8b61t256g2qw7b1x&amp;dl=0" xr:uid="{0F77D33B-2AD0-6545-99B9-3AE0C667BDA6}"/>
    <hyperlink ref="A969" r:id="rId966" display="https://www.dropbox.com/scl/fi/8w8gexsvskled5hj1md08/41708.pdf?rlkey=ecaapt7qsshokvudy8w4k0wjp&amp;dl=0" xr:uid="{7C802E0C-D50B-8C43-883F-8D4C27946B90}"/>
    <hyperlink ref="A970" r:id="rId967" display="https://www.dropbox.com/scl/fi/o5pm61g45y4i4kw2uyfjz/41709.pdf?rlkey=y4fedolnl6s406emtmpsum82s&amp;dl=0" xr:uid="{972303A4-8DC2-BA44-BA83-29B992832E29}"/>
    <hyperlink ref="A971" r:id="rId968" display="https://www.dropbox.com/scl/fi/8nukni0xdpyad3ppz5zax/41711.pdf?rlkey=ezsnueb32b7iccvqxfqv76djh&amp;dl=0" xr:uid="{97BF2465-9529-7A40-B7BD-0DC2A1E392CF}"/>
    <hyperlink ref="A972" r:id="rId969" display="https://www.dropbox.com/scl/fi/d9c4n2tix73bouzkjzic5/41716.pdf?rlkey=svlhlz8fpd2o25hhdydxmas9o&amp;dl=0" xr:uid="{475A9756-CCD9-1E48-AB6E-4FCE3083020E}"/>
  </hyperlinks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18C51-E37A-6A48-947C-E9687C1CB753}">
  <sheetPr>
    <tabColor theme="4" tint="0.59999389629810485"/>
    <pageSetUpPr fitToPage="1"/>
  </sheetPr>
  <dimension ref="A1:V63"/>
  <sheetViews>
    <sheetView zoomScale="110" zoomScaleNormal="110" workbookViewId="0">
      <selection activeCell="Q19" sqref="Q19"/>
    </sheetView>
  </sheetViews>
  <sheetFormatPr baseColWidth="10" defaultRowHeight="16" x14ac:dyDescent="0.2"/>
  <cols>
    <col min="2" max="5" width="13.33203125" customWidth="1"/>
    <col min="8" max="13" width="13.33203125" customWidth="1"/>
    <col min="14" max="14" width="6.1640625" customWidth="1"/>
    <col min="17" max="21" width="13.5" customWidth="1"/>
  </cols>
  <sheetData>
    <row r="1" spans="1:22" ht="36" customHeight="1" x14ac:dyDescent="0.2">
      <c r="A1" s="40" t="s">
        <v>348</v>
      </c>
      <c r="B1" s="40"/>
      <c r="C1" s="40"/>
      <c r="D1" s="40"/>
      <c r="E1" s="40"/>
      <c r="F1" s="17"/>
      <c r="G1" s="18"/>
      <c r="H1" s="40" t="s">
        <v>31</v>
      </c>
      <c r="I1" s="40"/>
      <c r="J1" s="40"/>
      <c r="K1" s="40"/>
      <c r="L1" s="40"/>
      <c r="M1" s="43">
        <f>M15/F15</f>
        <v>0.58697863682604268</v>
      </c>
      <c r="N1" s="43"/>
      <c r="P1" s="40" t="s">
        <v>595</v>
      </c>
      <c r="Q1" s="40"/>
      <c r="R1" s="40"/>
      <c r="S1" s="40"/>
      <c r="T1" s="40"/>
      <c r="U1" s="40"/>
      <c r="V1" s="29"/>
    </row>
    <row r="2" spans="1:22" x14ac:dyDescent="0.2">
      <c r="A2" s="8"/>
      <c r="B2" s="13" t="s">
        <v>208</v>
      </c>
      <c r="C2" s="13" t="s">
        <v>209</v>
      </c>
      <c r="D2" s="13" t="s">
        <v>207</v>
      </c>
      <c r="E2" s="13" t="s">
        <v>210</v>
      </c>
      <c r="F2" s="14" t="s">
        <v>201</v>
      </c>
      <c r="H2" s="8"/>
      <c r="I2" s="13" t="s">
        <v>208</v>
      </c>
      <c r="J2" s="13" t="s">
        <v>209</v>
      </c>
      <c r="K2" s="13" t="s">
        <v>207</v>
      </c>
      <c r="L2" s="13" t="s">
        <v>210</v>
      </c>
      <c r="M2" s="14" t="s">
        <v>201</v>
      </c>
      <c r="N2" s="14" t="s">
        <v>541</v>
      </c>
      <c r="P2" s="8"/>
      <c r="Q2" s="13" t="s">
        <v>594</v>
      </c>
      <c r="R2" s="13" t="s">
        <v>588</v>
      </c>
      <c r="S2" s="13" t="s">
        <v>589</v>
      </c>
      <c r="T2" s="13" t="s">
        <v>587</v>
      </c>
      <c r="U2" s="13" t="s">
        <v>143</v>
      </c>
      <c r="V2" s="14" t="s">
        <v>201</v>
      </c>
    </row>
    <row r="3" spans="1:22" x14ac:dyDescent="0.2">
      <c r="A3" t="s">
        <v>336</v>
      </c>
      <c r="B3">
        <f>COUNTIFS('Dogs - 2025'!$D:$D,"0-6 months",'Dogs - 2025'!$E:$E,"&gt;=01/01/2025",'Dogs - 2025'!$E:$E,"&lt;=1/31/2025")</f>
        <v>44</v>
      </c>
      <c r="C3">
        <f>COUNTIFS('Dogs - 2025'!$D:$D,"6-12 months",'Dogs - 2025'!$E:$E,"&gt;=01/01/2025",'Dogs - 2025'!$E:$E,"&lt;=1/31/2025")</f>
        <v>4</v>
      </c>
      <c r="D3">
        <f>COUNTIFS('Dogs - 2025'!$D:$D,"Adult",'Dogs - 2025'!$E:$E,"&gt;=01/01/2025",'Dogs - 2025'!$E:$E,"&lt;=1/31/2025")</f>
        <v>73</v>
      </c>
      <c r="E3">
        <f>COUNTIFS('Dogs - 2025'!$D:$D,"Senior",'Dogs - 2025'!$E:$E,"&gt;=01/01/2025",'Dogs - 2025'!$E:$E,"&lt;=1/31/2025")</f>
        <v>1</v>
      </c>
      <c r="F3" s="9">
        <f>SUM(B3:E3)</f>
        <v>122</v>
      </c>
      <c r="H3" t="s">
        <v>336</v>
      </c>
      <c r="I3">
        <f>COUNTIFS('Dogs - 2025'!$D:$D,"0-6 months",'Dogs - 2025'!$E:$E,"&gt;=01/01/2025",'Dogs - 2025'!$E:$E,"&lt;=1/31/2025",'Dogs - 2025'!$J:$J,"Euthanized")</f>
        <v>25</v>
      </c>
      <c r="J3">
        <f>COUNTIFS('Dogs - 2025'!$D:$D,"6-12 months",'Dogs - 2025'!$E:$E,"&gt;=01/01/2025",'Dogs - 2025'!$E:$E,"&lt;=1/31/2025",'Dogs - 2025'!$J:$J,"Euthanized")</f>
        <v>1</v>
      </c>
      <c r="K3">
        <f>COUNTIFS('Dogs - 2025'!$D:$D,"Adult",'Dogs - 2025'!$E:$E,"&gt;=01/01/2025",'Dogs - 2025'!$E:$E,"&lt;=1/31/2025",'Dogs - 2025'!$J:$J,"Euthanized")</f>
        <v>43</v>
      </c>
      <c r="L3">
        <f>COUNTIFS('Dogs - 2025'!$D:$D,"Senior",'Dogs - 2025'!$E:$E,"&gt;=01/01/2025",'Dogs - 2025'!$E:$E,"&lt;=1/31/2025",'Dogs - 2025'!$J:$J,"Euthanized")</f>
        <v>1</v>
      </c>
      <c r="M3" s="9">
        <f>SUM(I3:L3)</f>
        <v>70</v>
      </c>
      <c r="N3" s="19">
        <f>SUM(M3/F3)</f>
        <v>0.57377049180327866</v>
      </c>
      <c r="P3" t="s">
        <v>336</v>
      </c>
      <c r="Q3">
        <f>COUNTIFS('Dogs - 2025'!$K:$K,"Dangerous",'Dogs - 2025'!$E:$E,"&gt;=01/01/2025",'Dogs - 2025'!$E:$E,"&lt;=1/31/2025",'Dogs - 2025'!$J:$J,"Euthanized")</f>
        <v>2</v>
      </c>
      <c r="R3">
        <f>COUNTIFS('Dogs - 2025'!$K:$K,"Injured/Sick",'Dogs - 2025'!$E:$E,"&gt;=01/01/2025",'Dogs - 2025'!$E:$E,"&lt;=1/31/2025",'Dogs - 2025'!$J:$J,"Euthanized")</f>
        <v>2</v>
      </c>
      <c r="S3">
        <f>COUNTIFS('Dogs - 2025'!$K:$K,"Owner Request",'Dogs - 2025'!$E:$E,"&gt;=01/01/2025",'Dogs - 2025'!$E:$E,"&lt;=1/31/2025",'Dogs - 2025'!$J:$J,"Euthanized")</f>
        <v>2</v>
      </c>
      <c r="T3">
        <f>COUNTIFS('Dogs - 2025'!$K:$K,"Space",'Dogs - 2025'!$E:$E,"&gt;=01/01/2025",'Dogs - 2025'!$E:$E,"&lt;=1/31/2025",'Dogs - 2025'!$J:$J,"Euthanized")</f>
        <v>64</v>
      </c>
      <c r="U3">
        <f>COUNTIFS('Dogs - 2025'!$K:$K,"Unweaned",'Dogs - 2025'!$E:$E,"&gt;=01/01/2025",'Dogs - 2025'!$E:$E,"&lt;=1/31/2025",'Dogs - 2025'!$J:$J,"Euthanized")</f>
        <v>0</v>
      </c>
      <c r="V3" s="9">
        <f>SUM(Q3:U3)</f>
        <v>70</v>
      </c>
    </row>
    <row r="4" spans="1:22" x14ac:dyDescent="0.2">
      <c r="A4" t="s">
        <v>337</v>
      </c>
      <c r="B4">
        <f>COUNTIFS('Dogs - 2025'!$D:$D,"0-6 months",'Dogs - 2025'!$E:$E,"&gt;=02/01/2025",'Dogs - 2025'!$E:$E,"&lt;=2/28/2025")</f>
        <v>18</v>
      </c>
      <c r="C4">
        <f>COUNTIFS('Dogs - 2025'!$D:$D,"6-12 months",'Dogs - 2025'!$E:$E,"&gt;=02/01/2025",'Dogs - 2025'!$E:$E,"&lt;=2/28/2025")</f>
        <v>3</v>
      </c>
      <c r="D4">
        <f>COUNTIFS('Dogs - 2025'!$D:$D,"Adult",'Dogs - 2025'!$E:$E,"&gt;=02/01/2025",'Dogs - 2025'!$E:$E,"&lt;=2/28/2025")</f>
        <v>61</v>
      </c>
      <c r="E4">
        <f>COUNTIFS('Dogs - 2025'!$D:$D,"Senior",'Dogs - 2025'!$E:$E,"&gt;=02/01/2025",'Dogs - 2025'!$E:$E,"&lt;=2/28/2025")</f>
        <v>7</v>
      </c>
      <c r="F4" s="9">
        <f t="shared" ref="F4:F14" si="0">SUM(B4:E4)</f>
        <v>89</v>
      </c>
      <c r="H4" t="s">
        <v>337</v>
      </c>
      <c r="I4">
        <f>COUNTIFS('Dogs - 2025'!$D:$D,"0-6 months",'Dogs - 2025'!$E:$E,"&gt;=02/01/2025",'Dogs - 2025'!$E:$E,"&lt;=2/28/2025",'Dogs - 2025'!$J:$J,"Euthanized")</f>
        <v>12</v>
      </c>
      <c r="J4">
        <f>COUNTIFS('Dogs - 2025'!$D:$D,"6-12 months",'Dogs - 2025'!$E:$E,"&gt;=02/01/2025",'Dogs - 2025'!$E:$E,"&lt;=2/28/2025",'Dogs - 2025'!$J:$J,"Euthanized")</f>
        <v>3</v>
      </c>
      <c r="K4">
        <f>COUNTIFS('Dogs - 2025'!$D:$D,"Adult",'Dogs - 2025'!$E:$E,"&gt;=02/01/2025",'Dogs - 2025'!$E:$E,"&lt;=2/28/2025",'Dogs - 2025'!$J:$J,"Euthanized")</f>
        <v>39</v>
      </c>
      <c r="L4">
        <f>COUNTIFS('Dogs - 2025'!$D:$D,"Senior",'Dogs - 2025'!$E:$E,"&gt;=02/01/2025",'Dogs - 2025'!$E:$E,"&lt;=2/28/2025",'Dogs - 2025'!$J:$J,"Euthanized")</f>
        <v>5</v>
      </c>
      <c r="M4" s="9">
        <f t="shared" ref="M4:M14" si="1">SUM(I4:L4)</f>
        <v>59</v>
      </c>
      <c r="N4" s="19">
        <f t="shared" ref="N4:N10" si="2">SUM(M4/F4)</f>
        <v>0.6629213483146067</v>
      </c>
      <c r="P4" t="s">
        <v>337</v>
      </c>
      <c r="Q4">
        <f>COUNTIFS('Dogs - 2025'!$K:$K,"Dangerous",'Dogs - 2025'!$E:$E,"&gt;=02/01/2025",'Dogs - 2025'!$E:$E,"&lt;=2/28/2025",'Dogs - 2025'!$J:$J,"Euthanized")</f>
        <v>3</v>
      </c>
      <c r="R4">
        <f>COUNTIFS('Dogs - 2025'!$K:$K,"Injured/Sick",'Dogs - 2025'!$E:$E,"&gt;=02/01/2025",'Dogs - 2025'!$E:$E,"&lt;=2/28/2025",'Dogs - 2025'!$J:$J,"Euthanized")</f>
        <v>4</v>
      </c>
      <c r="S4">
        <f>COUNTIFS('Dogs - 2025'!$K:$K,"Owner Request",'Dogs - 2025'!$E:$E,"&gt;=02/01/2025",'Dogs - 2025'!$E:$E,"&lt;=2/28/2025",'Dogs - 2025'!$J:$J,"Euthanized")</f>
        <v>3</v>
      </c>
      <c r="T4">
        <f>COUNTIFS('Dogs - 2025'!$K:$K,"Space",'Dogs - 2025'!$E:$E,"&gt;=02/01/2025",'Dogs - 2025'!$E:$E,"&lt;=2/28/2025",'Dogs - 2025'!$J:$J,"Euthanized")</f>
        <v>49</v>
      </c>
      <c r="U4">
        <f>COUNTIFS('Dogs - 2025'!$K:$K,"Unweaned",'Dogs - 2025'!$E:$E,"&gt;=02/01/2025",'Dogs - 2025'!$E:$E,"&lt;=2/28/2025",'Dogs - 2025'!$J:$J,"Euthanized")</f>
        <v>0</v>
      </c>
      <c r="V4" s="9">
        <f t="shared" ref="V4:V14" si="3">SUM(Q4:U4)</f>
        <v>59</v>
      </c>
    </row>
    <row r="5" spans="1:22" x14ac:dyDescent="0.2">
      <c r="A5" t="s">
        <v>338</v>
      </c>
      <c r="B5">
        <f>COUNTIFS('Dogs - 2025'!$D:$D,"0-6 months",'Dogs - 2025'!$E:$E,"&gt;=03/01/2025",'Dogs - 2025'!$E:$E,"&lt;=3/31/2025")</f>
        <v>60</v>
      </c>
      <c r="C5">
        <f>COUNTIFS('Dogs - 2025'!$D:$D,"6-12 months",'Dogs - 2025'!$E:$E,"&gt;=03/01/2025",'Dogs - 2025'!$E:$E,"&lt;=3/31/2025")</f>
        <v>10</v>
      </c>
      <c r="D5">
        <f>COUNTIFS('Dogs - 2025'!$D:$D,"Adult",'Dogs - 2025'!$E:$E,"&gt;=03/01/2025",'Dogs - 2025'!$E:$E,"&lt;=3/31/2025")</f>
        <v>70</v>
      </c>
      <c r="E5">
        <f>COUNTIFS('Dogs - 2025'!$D:$D,"Senior",'Dogs - 2025'!$E:$E,"&gt;=03/01/2025",'Dogs - 2025'!$E:$E,"&lt;=3/31/2025")</f>
        <v>6</v>
      </c>
      <c r="F5" s="9">
        <f t="shared" si="0"/>
        <v>146</v>
      </c>
      <c r="H5" t="s">
        <v>338</v>
      </c>
      <c r="I5">
        <f>COUNTIFS('Dogs - 2025'!$D:$D,"0-6 months",'Dogs - 2025'!$E:$E,"&gt;=03/01/2025",'Dogs - 2025'!$E:$E,"&lt;=3/31/2025",'Dogs - 2025'!$J:$J,"Euthanized")</f>
        <v>37</v>
      </c>
      <c r="J5">
        <f>COUNTIFS('Dogs - 2025'!$D:$D,"6-12 months",'Dogs - 2025'!$E:$E,"&gt;=03/01/2025",'Dogs - 2025'!$E:$E,"&lt;=3/31/2025",'Dogs - 2025'!$J:$J,"Euthanized")</f>
        <v>6</v>
      </c>
      <c r="K5">
        <f>COUNTIFS('Dogs - 2025'!$D:$D,"Adult",'Dogs - 2025'!$E:$E,"&gt;=03/01/2025",'Dogs - 2025'!$E:$E,"&lt;=3/31/2025",'Dogs - 2025'!$J:$J,"Euthanized")</f>
        <v>42</v>
      </c>
      <c r="L5">
        <f>COUNTIFS('Dogs - 2025'!$D:$D,"Senior",'Dogs - 2025'!$E:$E,"&gt;=03/01/2025",'Dogs - 2025'!$E:$E,"&lt;=3/31/2025",'Dogs - 2025'!$J:$J,"Euthanized")</f>
        <v>4</v>
      </c>
      <c r="M5" s="9">
        <f t="shared" si="1"/>
        <v>89</v>
      </c>
      <c r="N5" s="19">
        <f t="shared" si="2"/>
        <v>0.6095890410958904</v>
      </c>
      <c r="P5" t="s">
        <v>338</v>
      </c>
      <c r="Q5">
        <f>COUNTIFS('Dogs - 2025'!$K:$K,"Dangerous",'Dogs - 2025'!$E:$E,"&gt;=03/01/2025",'Dogs - 2025'!$E:$E,"&lt;=3/31/2025",'Dogs - 2025'!$J:$J,"Euthanized")</f>
        <v>0</v>
      </c>
      <c r="R5">
        <f>COUNTIFS('Dogs - 2025'!$K:$K,"Injured/Sick",'Dogs - 2025'!$E:$E,"&gt;=03/01/2025",'Dogs - 2025'!$E:$E,"&lt;=3/31/2025",'Dogs - 2025'!$J:$J,"Euthanized")</f>
        <v>1</v>
      </c>
      <c r="S5">
        <f>COUNTIFS('Dogs - 2025'!$K:$K,"Owner Request",'Dogs - 2025'!$E:$E,"&gt;=03/01/2025",'Dogs - 2025'!$E:$E,"&lt;=3/31/2025",'Dogs - 2025'!$J:$J,"Euthanized")</f>
        <v>1</v>
      </c>
      <c r="T5">
        <f>COUNTIFS('Dogs - 2025'!$K:$K,"Space",'Dogs - 2025'!$E:$E,"&gt;=03/01/2025",'Dogs - 2025'!$E:$E,"&lt;=3/31/2025",'Dogs - 2025'!$J:$J,"Euthanized")</f>
        <v>87</v>
      </c>
      <c r="U5">
        <f>COUNTIFS('Dogs - 2025'!$K:$K,"Unweaned",'Dogs - 2025'!$E:$E,"&gt;=03/01/2025",'Dogs - 2025'!$E:$E,"&lt;=3/31/2025",'Dogs - 2025'!$J:$J,"Euthanized")</f>
        <v>0</v>
      </c>
      <c r="V5" s="9">
        <f t="shared" si="3"/>
        <v>89</v>
      </c>
    </row>
    <row r="6" spans="1:22" x14ac:dyDescent="0.2">
      <c r="A6" t="s">
        <v>339</v>
      </c>
      <c r="B6">
        <f>COUNTIFS('Dogs - 2025'!$D:$D,"0-6 months",'Dogs - 2025'!$E:$E,"&gt;=04/01/2025",'Dogs - 2025'!$E:$E,"&lt;=4/30/2025")</f>
        <v>51</v>
      </c>
      <c r="C6">
        <f>COUNTIFS('Dogs - 2025'!$D:$D,"6-12 months",'Dogs - 2025'!$E:$E,"&gt;=04/01/2025",'Dogs - 2025'!$E:$E,"&lt;=4/30/2025")</f>
        <v>8</v>
      </c>
      <c r="D6">
        <f>COUNTIFS('Dogs - 2025'!$D:$D,"Adult",'Dogs - 2025'!$E:$E,"&gt;=04/01/2025",'Dogs - 2025'!$E:$E,"&lt;=4/30/2025")</f>
        <v>46</v>
      </c>
      <c r="E6">
        <f>COUNTIFS('Dogs - 2025'!$D:$D,"Senior",'Dogs - 2025'!$E:$E,"&gt;=04/01/2025",'Dogs - 2025'!$E:$E,"&lt;=4/30/2025")</f>
        <v>1</v>
      </c>
      <c r="F6" s="9">
        <f t="shared" si="0"/>
        <v>106</v>
      </c>
      <c r="H6" t="s">
        <v>339</v>
      </c>
      <c r="I6">
        <f>COUNTIFS('Dogs - 2025'!$D:$D,"0-6 months",'Dogs - 2025'!$E:$E,"&gt;=04/01/2025",'Dogs - 2025'!$E:$E,"&lt;=4/30/2025",'Dogs - 2025'!$J:$J,"Euthanized")</f>
        <v>31</v>
      </c>
      <c r="J6">
        <f>COUNTIFS('Dogs - 2025'!$D:$D,"6-12 months",'Dogs - 2025'!$E:$E,"&gt;=04/01/2025",'Dogs - 2025'!$E:$E,"&lt;=4/30/2025",'Dogs - 2025'!$J:$J,"Euthanized")</f>
        <v>4</v>
      </c>
      <c r="K6">
        <f>COUNTIFS('Dogs - 2025'!$D:$D,"Adult",'Dogs - 2025'!$E:$E,"&gt;=04/01/2025",'Dogs - 2025'!$E:$E,"&lt;=4/30/2025",'Dogs - 2025'!$J:$J,"Euthanized")</f>
        <v>26</v>
      </c>
      <c r="L6">
        <f>COUNTIFS('Dogs - 2025'!$D:$D,"Senior",'Dogs - 2025'!$E:$E,"&gt;=04/01/2025",'Dogs - 2025'!$E:$E,"&lt;=4/30/2025",'Dogs - 2025'!$J:$J,"Euthanized")</f>
        <v>0</v>
      </c>
      <c r="M6" s="9">
        <f t="shared" si="1"/>
        <v>61</v>
      </c>
      <c r="N6" s="19">
        <f t="shared" si="2"/>
        <v>0.57547169811320753</v>
      </c>
      <c r="P6" t="s">
        <v>339</v>
      </c>
      <c r="Q6">
        <f>COUNTIFS('Dogs - 2025'!$K:$K,"Dangerous",'Dogs - 2025'!$E:$E,"&gt;=04/01/2025",'Dogs - 2025'!$E:$E,"&lt;=4/30/2025",'Dogs - 2025'!$J:$J,"Euthanized")</f>
        <v>0</v>
      </c>
      <c r="R6">
        <f>COUNTIFS('Dogs - 2025'!$K:$K,"Injured/Sick",'Dogs - 2025'!$E:$E,"&gt;=04/01/2025",'Dogs - 2025'!$E:$E,"&lt;=4/30/2025",'Dogs - 2025'!$J:$J,"Euthanized")</f>
        <v>11</v>
      </c>
      <c r="S6">
        <f>COUNTIFS('Dogs - 2025'!$K:$K,"Owner Request",'Dogs - 2025'!$E:$E,"&gt;=04/01/2025",'Dogs - 2025'!$E:$E,"&lt;=4/30/2025",'Dogs - 2025'!$J:$J,"Euthanized")</f>
        <v>0</v>
      </c>
      <c r="T6">
        <f>COUNTIFS('Dogs - 2025'!$K:$K,"Space",'Dogs - 2025'!$E:$E,"&gt;=04/01/2025",'Dogs - 2025'!$E:$E,"&lt;=4/30/2025",'Dogs - 2025'!$J:$J,"Euthanized")</f>
        <v>50</v>
      </c>
      <c r="U6">
        <f>COUNTIFS('Dogs - 2025'!$K:$K,"Unweaned",'Dogs - 2025'!$E:$E,"&gt;=04/01/2025",'Dogs - 2025'!$E:$E,"&lt;=4/30/2025",'Dogs - 2025'!$J:$J,"Euthanized")</f>
        <v>0</v>
      </c>
      <c r="V6" s="9">
        <f t="shared" si="3"/>
        <v>61</v>
      </c>
    </row>
    <row r="7" spans="1:22" x14ac:dyDescent="0.2">
      <c r="A7" t="s">
        <v>340</v>
      </c>
      <c r="B7">
        <f>COUNTIFS('Dogs - 2025'!$D:$D,"0-6 months",'Dogs - 2025'!$E:$E,"&gt;=05/01/2025",'Dogs - 2025'!$E:$E,"&lt;=5/31/2025")</f>
        <v>24</v>
      </c>
      <c r="C7">
        <f>COUNTIFS('Dogs - 2025'!$D:$D,"6-12 months",'Dogs - 2025'!$E:$E,"&gt;=05/01/2025",'Dogs - 2025'!$E:$E,"&lt;=5/31/2025")</f>
        <v>10</v>
      </c>
      <c r="D7">
        <f>COUNTIFS('Dogs - 2025'!$D:$D,"Adult",'Dogs - 2025'!$E:$E,"&gt;=05/01/2025",'Dogs - 2025'!$E:$E,"&lt;=5/31/2025")</f>
        <v>65</v>
      </c>
      <c r="E7">
        <f>COUNTIFS('Dogs - 2025'!$D:$D,"Senior",'Dogs - 2025'!$E:$E,"&gt;=05/01/2025",'Dogs - 2025'!$E:$E,"&lt;=5/31/2025")</f>
        <v>4</v>
      </c>
      <c r="F7" s="9">
        <f t="shared" si="0"/>
        <v>103</v>
      </c>
      <c r="H7" t="s">
        <v>340</v>
      </c>
      <c r="I7">
        <f>COUNTIFS('Dogs - 2025'!$D:$D,"0-6 months",'Dogs - 2025'!$E:$E,"&gt;=05/01/2025",'Dogs - 2025'!$E:$E,"&lt;=5/31/2025",'Dogs - 2025'!$J:$J,"Euthanized")</f>
        <v>9</v>
      </c>
      <c r="J7">
        <f>COUNTIFS('Dogs - 2025'!$D:$D,"6-12 months",'Dogs - 2025'!$E:$E,"&gt;=05/01/2025",'Dogs - 2025'!$E:$E,"&lt;=5/31/2025",'Dogs - 2025'!$J:$J,"Euthanized")</f>
        <v>7</v>
      </c>
      <c r="K7">
        <f>COUNTIFS('Dogs - 2025'!$D:$D,"Adult",'Dogs - 2025'!$E:$E,"&gt;=05/01/2025",'Dogs - 2025'!$E:$E,"&lt;=5/31/2025",'Dogs - 2025'!$J:$J,"Euthanized")</f>
        <v>31</v>
      </c>
      <c r="L7">
        <f>COUNTIFS('Dogs - 2025'!$D:$D,"Senior",'Dogs - 2025'!$E:$E,"&gt;=05/01/2025",'Dogs - 2025'!$E:$E,"&lt;=5/31/2025",'Dogs - 2025'!$J:$J,"Euthanized")</f>
        <v>2</v>
      </c>
      <c r="M7" s="9">
        <f t="shared" si="1"/>
        <v>49</v>
      </c>
      <c r="N7" s="19">
        <f t="shared" si="2"/>
        <v>0.47572815533980584</v>
      </c>
      <c r="P7" t="s">
        <v>340</v>
      </c>
      <c r="Q7">
        <f>COUNTIFS('Dogs - 2025'!$K:$K,"Dangerous",'Dogs - 2025'!$E:$E,"&gt;=05/01/2025",'Dogs - 2025'!$E:$E,"&lt;=5/31/2025",'Dogs - 2025'!$J:$J,"Euthanized")</f>
        <v>1</v>
      </c>
      <c r="R7">
        <f>COUNTIFS('Dogs - 2025'!$K:$K,"Injured/Sick",'Dogs - 2025'!$E:$E,"&gt;=05/01/2025",'Dogs - 2025'!$E:$E,"&lt;=5/31/2025",'Dogs - 2025'!$J:$J,"Euthanized")</f>
        <v>3</v>
      </c>
      <c r="S7">
        <f>COUNTIFS('Dogs - 2025'!$K:$K,"Owner Request",'Dogs - 2025'!$E:$E,"&gt;=05/01/2025",'Dogs - 2025'!$E:$E,"&lt;=5/31/2025",'Dogs - 2025'!$J:$J,"Euthanized")</f>
        <v>1</v>
      </c>
      <c r="T7">
        <f>COUNTIFS('Dogs - 2025'!$K:$K,"Space",'Dogs - 2025'!$E:$E,"&gt;=05/01/2025",'Dogs - 2025'!$E:$E,"&lt;=5/31/2025",'Dogs - 2025'!$J:$J,"Euthanized")</f>
        <v>44</v>
      </c>
      <c r="U7">
        <f>COUNTIFS('Dogs - 2025'!$K:$K,"Unweaned",'Dogs - 2025'!$E:$E,"&gt;=05/01/2025",'Dogs - 2025'!$E:$E,"&lt;=5/31/2025",'Dogs - 2025'!$J:$J,"Euthanized")</f>
        <v>0</v>
      </c>
      <c r="V7" s="9">
        <f t="shared" si="3"/>
        <v>49</v>
      </c>
    </row>
    <row r="8" spans="1:22" x14ac:dyDescent="0.2">
      <c r="A8" t="s">
        <v>341</v>
      </c>
      <c r="B8">
        <f>COUNTIFS('Dogs - 2025'!$D:$D,"0-6 months",'Dogs - 2025'!$E:$E,"&gt;=06/01/2025",'Dogs - 2025'!$E:$E,"&lt;=6/30/2025")</f>
        <v>29</v>
      </c>
      <c r="C8">
        <f>COUNTIFS('Dogs - 2025'!$D:$D,"6-12 months",'Dogs - 2025'!$E:$E,"&gt;=06/01/2025",'Dogs - 2025'!$E:$E,"&lt;=6/30/2025")</f>
        <v>11</v>
      </c>
      <c r="D8">
        <f>COUNTIFS('Dogs - 2025'!$D:$D,"Adult",'Dogs - 2025'!$E:$E,"&gt;=06/01/2025",'Dogs - 2025'!$E:$E,"&lt;=6/30/2025")</f>
        <v>65</v>
      </c>
      <c r="E8">
        <f>COUNTIFS('Dogs - 2025'!$D:$D,"Senior",'Dogs - 2025'!$E:$E,"&gt;=06/01/2025",'Dogs - 2025'!$E:$E,"&lt;=6/30/2025")</f>
        <v>2</v>
      </c>
      <c r="F8" s="9">
        <f t="shared" si="0"/>
        <v>107</v>
      </c>
      <c r="H8" t="s">
        <v>341</v>
      </c>
      <c r="I8">
        <f>COUNTIFS('Dogs - 2025'!$D:$D,"0-6 months",'Dogs - 2025'!$E:$E,"&gt;=06/01/2025",'Dogs - 2025'!$E:$E,"&lt;=6/30/2025",'Dogs - 2025'!$J:$J,"Euthanized")</f>
        <v>21</v>
      </c>
      <c r="J8">
        <f>COUNTIFS('Dogs - 2025'!$D:$D,"6-12 months",'Dogs - 2025'!$E:$E,"&gt;=06/01/2025",'Dogs - 2025'!$E:$E,"&lt;=6/30/2025",'Dogs - 2025'!$J:$J,"Euthanized")</f>
        <v>9</v>
      </c>
      <c r="K8">
        <f>COUNTIFS('Dogs - 2025'!$D:$D,"Adult",'Dogs - 2025'!$E:$E,"&gt;=06/01/2025",'Dogs - 2025'!$E:$E,"&lt;=6/30/2025",'Dogs - 2025'!$J:$J,"Euthanized")</f>
        <v>35</v>
      </c>
      <c r="L8">
        <f>COUNTIFS('Dogs - 2025'!$D:$D,"Senior",'Dogs - 2025'!$E:$E,"&gt;=06/01/2025",'Dogs - 2025'!$E:$E,"&lt;=6/30/2025",'Dogs - 2025'!$J:$J,"Euthanized")</f>
        <v>2</v>
      </c>
      <c r="M8" s="9">
        <f t="shared" si="1"/>
        <v>67</v>
      </c>
      <c r="N8" s="19">
        <f t="shared" si="2"/>
        <v>0.62616822429906538</v>
      </c>
      <c r="P8" t="s">
        <v>341</v>
      </c>
      <c r="Q8">
        <f>COUNTIFS('Dogs - 2025'!$K:$K,"Dangerous",'Dogs - 2025'!$E:$E,"&gt;=06/01/2025",'Dogs - 2025'!$E:$E,"&lt;=6/30/2025",'Dogs - 2025'!$J:$J,"Euthanized")</f>
        <v>0</v>
      </c>
      <c r="R8">
        <f>COUNTIFS('Dogs - 2025'!$K:$K,"Injured/Sick",'Dogs - 2025'!$E:$E,"&gt;=06/01/2025",'Dogs - 2025'!$E:$E,"&lt;=6/30/2025",'Dogs - 2025'!$J:$J,"Euthanized")</f>
        <v>17</v>
      </c>
      <c r="S8">
        <f>COUNTIFS('Dogs - 2025'!$K:$K,"Owner Request",'Dogs - 2025'!$E:$E,"&gt;=06/01/2025",'Dogs - 2025'!$E:$E,"&lt;=6/30/2025",'Dogs - 2025'!$J:$J,"Euthanized")</f>
        <v>1</v>
      </c>
      <c r="T8">
        <f>COUNTIFS('Dogs - 2025'!$K:$K,"Space",'Dogs - 2025'!$E:$E,"&gt;=06/01/2025",'Dogs - 2025'!$E:$E,"&lt;=6/30/2025",'Dogs - 2025'!$J:$J,"Euthanized")</f>
        <v>49</v>
      </c>
      <c r="U8">
        <f>COUNTIFS('Dogs - 2025'!$K:$K,"Unweaned",'Dogs - 2025'!$E:$E,"&gt;=06/01/2025",'Dogs - 2025'!$E:$E,"&lt;=6/30/2025",'Dogs - 2025'!$J:$J,"Euthanized")</f>
        <v>0</v>
      </c>
      <c r="V8" s="9">
        <f t="shared" si="3"/>
        <v>67</v>
      </c>
    </row>
    <row r="9" spans="1:22" x14ac:dyDescent="0.2">
      <c r="A9" t="s">
        <v>342</v>
      </c>
      <c r="B9">
        <f>COUNTIFS('Dogs - 2025'!$D:$D,"0-6 months",'Dogs - 2025'!$E:$E,"&gt;=07/01/2025",'Dogs - 2025'!$E:$E,"&lt;=7/31/2025")</f>
        <v>43</v>
      </c>
      <c r="C9">
        <f>COUNTIFS('Dogs - 2025'!$D:$D,"6-12 months",'Dogs - 2025'!$E:$E,"&gt;=07/01/2025",'Dogs - 2025'!$E:$E,"&lt;=7/31/2025")</f>
        <v>14</v>
      </c>
      <c r="D9">
        <f>COUNTIFS('Dogs - 2025'!$D:$D,"Adult",'Dogs - 2025'!$E:$E,"&gt;=07/01/2025",'Dogs - 2025'!$E:$E,"&lt;=7/31/2025")</f>
        <v>84</v>
      </c>
      <c r="E9">
        <f>COUNTIFS('Dogs - 2025'!$D:$D,"Senior",'Dogs - 2025'!$E:$E,"&gt;=07/01/2025",'Dogs - 2025'!$E:$E,"&lt;=7/31/2025")</f>
        <v>4</v>
      </c>
      <c r="F9" s="9">
        <f t="shared" si="0"/>
        <v>145</v>
      </c>
      <c r="H9" t="s">
        <v>342</v>
      </c>
      <c r="I9">
        <f>COUNTIFS('Dogs - 2025'!$D:$D,"0-6 months",'Dogs - 2025'!$E:$E,"&gt;=07/01/2025",'Dogs - 2025'!$E:$E,"&lt;=7/31/2025",'Dogs - 2025'!$J:$J,"Euthanized")</f>
        <v>36</v>
      </c>
      <c r="J9">
        <f>COUNTIFS('Dogs - 2025'!$D:$D,"6-12 months",'Dogs - 2025'!$E:$E,"&gt;=07/01/2025",'Dogs - 2025'!$E:$E,"&lt;=7/31/2025",'Dogs - 2025'!$J:$J,"Euthanized")</f>
        <v>7</v>
      </c>
      <c r="K9">
        <f>COUNTIFS('Dogs - 2025'!$D:$D,"Adult",'Dogs - 2025'!$E:$E,"&gt;=07/01/2025",'Dogs - 2025'!$E:$E,"&lt;=7/31/2025",'Dogs - 2025'!$J:$J,"Euthanized")</f>
        <v>48</v>
      </c>
      <c r="L9">
        <f>COUNTIFS('Dogs - 2025'!$D:$D,"Senior",'Dogs - 2025'!$E:$E,"&gt;=07/01/2025",'Dogs - 2025'!$E:$E,"&lt;=7/31/2025",'Dogs - 2025'!$J:$J,"Euthanized")</f>
        <v>4</v>
      </c>
      <c r="M9" s="9">
        <f t="shared" si="1"/>
        <v>95</v>
      </c>
      <c r="N9" s="19">
        <f t="shared" si="2"/>
        <v>0.65517241379310343</v>
      </c>
      <c r="P9" t="s">
        <v>342</v>
      </c>
      <c r="Q9">
        <f>COUNTIFS('Dogs - 2025'!$K:$K,"Dangerous",'Dogs - 2025'!$E:$E,"&gt;=07/01/2025",'Dogs - 2025'!$E:$E,"&lt;=7/31/2025",'Dogs - 2025'!$J:$J,"Euthanized")</f>
        <v>3</v>
      </c>
      <c r="R9">
        <f>COUNTIFS('Dogs - 2025'!$K:$K,"Injured/Sick",'Dogs - 2025'!$E:$E,"&gt;=07/01/2025",'Dogs - 2025'!$E:$E,"&lt;=7/31/2025",'Dogs - 2025'!$J:$J,"Euthanized")</f>
        <v>20</v>
      </c>
      <c r="S9">
        <f>COUNTIFS('Dogs - 2025'!$K:$K,"Owner Request",'Dogs - 2025'!$E:$E,"&gt;=07/01/2025",'Dogs - 2025'!$E:$E,"&lt;=7/31/2025",'Dogs - 2025'!$J:$J,"Euthanized")</f>
        <v>1</v>
      </c>
      <c r="T9">
        <f>COUNTIFS('Dogs - 2025'!$K:$K,"Space",'Dogs - 2025'!$E:$E,"&gt;=07/01/2025",'Dogs - 2025'!$E:$E,"&lt;=7/31/2025",'Dogs - 2025'!$J:$J,"Euthanized")</f>
        <v>71</v>
      </c>
      <c r="U9">
        <f>COUNTIFS('Dogs - 2025'!$K:$K,"Unweaned",'Dogs - 2025'!$E:$E,"&gt;=07/01/2025",'Dogs - 2025'!$E:$E,"&lt;=7/31/2025",'Dogs - 2025'!$J:$J,"Euthanized")</f>
        <v>0</v>
      </c>
      <c r="V9" s="9">
        <f t="shared" si="3"/>
        <v>95</v>
      </c>
    </row>
    <row r="10" spans="1:22" x14ac:dyDescent="0.2">
      <c r="A10" t="s">
        <v>343</v>
      </c>
      <c r="B10">
        <f>COUNTIFS('Dogs - 2025'!$D:$D,"0-6 months",'Dogs - 2025'!$E:$E,"&gt;=08/01/2025",'Dogs - 2025'!$E:$E,"&lt;=8/31/2025")</f>
        <v>49</v>
      </c>
      <c r="C10">
        <f>COUNTIFS('Dogs - 2025'!$D:$D,"6-12 months",'Dogs - 2025'!$E:$E,"&gt;=08/01/2025",'Dogs - 2025'!$E:$E,"&lt;=8/31/2025")</f>
        <v>16</v>
      </c>
      <c r="D10">
        <f>COUNTIFS('Dogs - 2025'!$D:$D,"Adult",'Dogs - 2025'!$E:$E,"&gt;=08/01/2025",'Dogs - 2025'!$E:$E,"&lt;=8/31/2025")</f>
        <v>80</v>
      </c>
      <c r="E10">
        <f>COUNTIFS('Dogs - 2025'!$D:$D,"Senior",'Dogs - 2025'!$E:$E,"&gt;=08/01/2025",'Dogs - 2025'!$E:$E,"&lt;=8/31/2025")</f>
        <v>3</v>
      </c>
      <c r="F10" s="9">
        <f t="shared" si="0"/>
        <v>148</v>
      </c>
      <c r="H10" t="s">
        <v>343</v>
      </c>
      <c r="I10">
        <f>COUNTIFS('Dogs - 2025'!$D:$D,"0-6 months",'Dogs - 2025'!$E:$E,"&gt;=08/01/2025",'Dogs - 2025'!$E:$E,"&lt;=8/31/2025",'Dogs - 2025'!$J:$J,"Euthanized")</f>
        <v>36</v>
      </c>
      <c r="J10">
        <f>COUNTIFS('Dogs - 2025'!$D:$D,"6-12 months",'Dogs - 2025'!$E:$E,"&gt;=08/01/2025",'Dogs - 2025'!$E:$E,"&lt;=8/31/2025",'Dogs - 2025'!$J:$J,"Euthanized")</f>
        <v>6</v>
      </c>
      <c r="K10">
        <f>COUNTIFS('Dogs - 2025'!$D:$D,"Adult",'Dogs - 2025'!$E:$E,"&gt;=08/01/2025",'Dogs - 2025'!$E:$E,"&lt;=8/31/2025",'Dogs - 2025'!$J:$J,"Euthanized")</f>
        <v>32</v>
      </c>
      <c r="L10">
        <f>COUNTIFS('Dogs - 2025'!$D:$D,"Senior",'Dogs - 2025'!$E:$E,"&gt;=08/01/2025",'Dogs - 2025'!$E:$E,"&lt;=8/31/2025",'Dogs - 2025'!$J:$J,"Euthanized")</f>
        <v>3</v>
      </c>
      <c r="M10" s="9">
        <f t="shared" si="1"/>
        <v>77</v>
      </c>
      <c r="N10" s="19">
        <f t="shared" si="2"/>
        <v>0.52027027027027029</v>
      </c>
      <c r="P10" t="s">
        <v>343</v>
      </c>
      <c r="Q10">
        <f>COUNTIFS('Dogs - 2025'!$K:$K,"Dangerous",'Dogs - 2025'!$E:$E,"&gt;=08/01/2025",'Dogs - 2025'!$E:$E,"&lt;=8/31/2025",'Dogs - 2025'!$J:$J,"Euthanized")</f>
        <v>4</v>
      </c>
      <c r="R10">
        <f>COUNTIFS('Dogs - 2025'!$K:$K,"Injured/Sick",'Dogs - 2025'!$E:$E,"&gt;=08/01/2025",'Dogs - 2025'!$E:$E,"&lt;=8/31/2025",'Dogs - 2025'!$J:$J,"Euthanized")</f>
        <v>4</v>
      </c>
      <c r="S10">
        <f>COUNTIFS('Dogs - 2025'!$K:$K,"Owner Request",'Dogs - 2025'!$E:$E,"&gt;=08/01/2025",'Dogs - 2025'!$E:$E,"&lt;=8/31/2025",'Dogs - 2025'!$J:$J,"Euthanized")</f>
        <v>2</v>
      </c>
      <c r="T10">
        <f>COUNTIFS('Dogs - 2025'!$K:$K,"Space",'Dogs - 2025'!$E:$E,"&gt;=08/01/2025",'Dogs - 2025'!$E:$E,"&lt;=8/31/2025",'Dogs - 2025'!$J:$J,"Euthanized")</f>
        <v>65</v>
      </c>
      <c r="U10">
        <f>COUNTIFS('Dogs - 2025'!$K:$K,"Unweaned",'Dogs - 2025'!$E:$E,"&gt;=08/01/2025",'Dogs - 2025'!$E:$E,"&lt;=8/31/2025",'Dogs - 2025'!$J:$J,"Euthanized")</f>
        <v>1</v>
      </c>
      <c r="V10" s="9">
        <f t="shared" si="3"/>
        <v>76</v>
      </c>
    </row>
    <row r="11" spans="1:22" x14ac:dyDescent="0.2">
      <c r="A11" t="s">
        <v>344</v>
      </c>
      <c r="B11">
        <f>COUNTIFS('Dogs - 2025'!$D:$D,"0-6 months",'Dogs - 2025'!$E:$E,"&gt;=09/01/2025",'Dogs - 2025'!$E:$E,"&lt;=9/30/2025")</f>
        <v>1</v>
      </c>
      <c r="C11">
        <f>COUNTIFS('Dogs - 2025'!$D:$D,"6-12 months",'Dogs - 2025'!$E:$E,"&gt;=09/01/2025",'Dogs - 2025'!$E:$E,"&lt;=9/30/2025")</f>
        <v>1</v>
      </c>
      <c r="D11">
        <f>COUNTIFS('Dogs - 2025'!$D:$D,"Adult",'Dogs - 2025'!$E:$E,"&gt;=09/01/2025",'Dogs - 2025'!$E:$E,"&lt;=9/30/2025")</f>
        <v>14</v>
      </c>
      <c r="E11">
        <f>COUNTIFS('Dogs - 2025'!$D:$D,"Senior",'Dogs - 2025'!$E:$E,"&gt;=09/01/2025",'Dogs - 2025'!$E:$E,"&lt;=9/30/2025")</f>
        <v>1</v>
      </c>
      <c r="F11" s="9">
        <f t="shared" si="0"/>
        <v>17</v>
      </c>
      <c r="H11" t="s">
        <v>344</v>
      </c>
      <c r="I11">
        <f>COUNTIFS('Dogs - 2025'!$D:$D,"0-6 months",'Dogs - 2025'!$E:$E,"&gt;=09/01/2025",'Dogs - 2025'!$E:$E,"&lt;=9/30/2025",'Dogs - 2025'!$J:$J,"Euthanized")</f>
        <v>1</v>
      </c>
      <c r="J11">
        <f>COUNTIFS('Dogs - 2025'!$D:$D,"6-12 months",'Dogs - 2025'!$E:$E,"&gt;=09/01/2025",'Dogs - 2025'!$E:$E,"&lt;=9/30/2025",'Dogs - 2025'!$J:$J,"Euthanized")</f>
        <v>0</v>
      </c>
      <c r="K11">
        <f>COUNTIFS('Dogs - 2025'!$D:$D,"Adult",'Dogs - 2025'!$E:$E,"&gt;=09/01/2025",'Dogs - 2025'!$E:$E,"&lt;=9/30/2025",'Dogs - 2025'!$J:$J,"Euthanized")</f>
        <v>8</v>
      </c>
      <c r="L11">
        <f>COUNTIFS('Dogs - 2025'!$D:$D,"Senior",'Dogs - 2025'!$E:$E,"&gt;=09/01/2025",'Dogs - 2025'!$E:$E,"&lt;=9/30/2025",'Dogs - 2025'!$J:$J,"Euthanized")</f>
        <v>1</v>
      </c>
      <c r="M11" s="9">
        <f t="shared" si="1"/>
        <v>10</v>
      </c>
      <c r="N11" s="19"/>
      <c r="P11" t="s">
        <v>344</v>
      </c>
      <c r="Q11">
        <f>COUNTIFS('Dogs - 2025'!$K:$K,"Dangerous",'Dogs - 2025'!$E:$E,"&gt;=09/01/2025",'Dogs - 2025'!$E:$E,"&lt;=9/30/2025",'Dogs - 2025'!$J:$J,"Euthanized")</f>
        <v>0</v>
      </c>
      <c r="R11">
        <f>COUNTIFS('Dogs - 2025'!$K:$K,"Injured/Sick",'Dogs - 2025'!$E:$E,"&gt;=09/01/2025",'Dogs - 2025'!$E:$E,"&lt;=9/30/2025",'Dogs - 2025'!$J:$J,"Euthanized")</f>
        <v>3</v>
      </c>
      <c r="S11">
        <f>COUNTIFS('Dogs - 2025'!$K:$K,"Owner Request",'Dogs - 2025'!$E:$E,"&gt;=09/01/2025",'Dogs - 2025'!$E:$E,"&lt;=9/30/2025",'Dogs - 2025'!$J:$J,"Euthanized")</f>
        <v>0</v>
      </c>
      <c r="T11">
        <f>COUNTIFS('Dogs - 2025'!$K:$K,"Space",'Dogs - 2025'!$E:$E,"&gt;=09/01/2025",'Dogs - 2025'!$E:$E,"&lt;=9/30/2025",'Dogs - 2025'!$J:$J,"Euthanized")</f>
        <v>7</v>
      </c>
      <c r="U11">
        <f>COUNTIFS('Dogs - 2025'!$K:$K,"Unweaned",'Dogs - 2025'!$E:$E,"&gt;=09/01/2025",'Dogs - 2025'!$E:$E,"&lt;=9/30/2025",'Dogs - 2025'!$J:$J,"Euthanized")</f>
        <v>0</v>
      </c>
      <c r="V11" s="9">
        <f t="shared" si="3"/>
        <v>10</v>
      </c>
    </row>
    <row r="12" spans="1:22" x14ac:dyDescent="0.2">
      <c r="A12" t="s">
        <v>345</v>
      </c>
      <c r="B12">
        <f>COUNTIFS('Dogs - 2025'!$D:$D,"0-6 months",'Dogs - 2025'!$E:$E,"&gt;=10/01/2025",'Dogs - 2025'!$E:$E,"&lt;=10/31/2025")</f>
        <v>0</v>
      </c>
      <c r="C12">
        <f>COUNTIFS('Dogs - 2025'!$D:$D,"6-12 months",'Dogs - 2025'!$E:$E,"&gt;=10/01/2025",'Dogs - 2025'!$E:$E,"&lt;=10/31/2025")</f>
        <v>0</v>
      </c>
      <c r="D12">
        <f>COUNTIFS('Dogs - 2025'!$D:$D,"Adult",'Dogs - 2025'!$E:$E,"&gt;=10/01/2025",'Dogs - 2025'!$E:$E,"&lt;=10/31/2025")</f>
        <v>0</v>
      </c>
      <c r="E12">
        <f>COUNTIFS('Dogs - 2025'!$D:$D,"Senior",'Dogs - 2025'!$E:$E,"&gt;=10/01/2025",'Dogs - 2025'!$E:$E,"&lt;=10/31/2025")</f>
        <v>0</v>
      </c>
      <c r="F12" s="9">
        <f t="shared" si="0"/>
        <v>0</v>
      </c>
      <c r="H12" t="s">
        <v>345</v>
      </c>
      <c r="I12">
        <f>COUNTIFS('Dogs - 2025'!$D:$D,"0-6 months",'Dogs - 2025'!$E:$E,"&gt;=10/01/2025",'Dogs - 2025'!$E:$E,"&lt;=10/31/2025",'Dogs - 2025'!$J:$J,"Euthanized")</f>
        <v>0</v>
      </c>
      <c r="J12">
        <f>COUNTIFS('Dogs - 2025'!$D:$D,"6-12 months",'Dogs - 2025'!$E:$E,"&gt;=10/01/2025",'Dogs - 2025'!$E:$E,"&lt;=10/31/2025",'Dogs - 2025'!$J:$J,"Euthanized")</f>
        <v>0</v>
      </c>
      <c r="K12">
        <f>COUNTIFS('Dogs - 2025'!$D:$D,"Adult",'Dogs - 2025'!$E:$E,"&gt;=10/01/2025",'Dogs - 2025'!$E:$E,"&lt;=10/31/2025",'Dogs - 2025'!$J:$J,"Euthanized")</f>
        <v>0</v>
      </c>
      <c r="L12">
        <f>COUNTIFS('Dogs - 2025'!$D:$D,"Senior",'Dogs - 2025'!$E:$E,"&gt;=10/01/2025",'Dogs - 2025'!$E:$E,"&lt;=10/31/2025",'Dogs - 2025'!$J:$J,"Euthanized")</f>
        <v>0</v>
      </c>
      <c r="M12" s="9">
        <f t="shared" si="1"/>
        <v>0</v>
      </c>
      <c r="N12" s="19"/>
      <c r="P12" t="s">
        <v>345</v>
      </c>
      <c r="Q12">
        <f>COUNTIFS('Dogs - 2025'!$K:$K,"Dangerous",'Dogs - 2025'!$E:$E,"&gt;=10/01/2025",'Dogs - 2025'!$E:$E,"&lt;=10/31/2025",'Dogs - 2025'!$J:$J,"Euthanized")</f>
        <v>0</v>
      </c>
      <c r="R12">
        <f>COUNTIFS('Dogs - 2025'!$K:$K,"Injured/Sick",'Dogs - 2025'!$E:$E,"&gt;=10/01/2025",'Dogs - 2025'!$E:$E,"&lt;=10/31/2025",'Dogs - 2025'!$J:$J,"Euthanized")</f>
        <v>0</v>
      </c>
      <c r="S12">
        <f>COUNTIFS('Dogs - 2025'!$K:$K,"Owner Request",'Dogs - 2025'!$E:$E,"&gt;=10/01/2025",'Dogs - 2025'!$E:$E,"&lt;=10/31/2025",'Dogs - 2025'!$J:$J,"Euthanized")</f>
        <v>0</v>
      </c>
      <c r="T12">
        <f>COUNTIFS('Dogs - 2025'!$K:$K,"Space",'Dogs - 2025'!$E:$E,"&gt;=10/01/2025",'Dogs - 2025'!$E:$E,"&lt;=10/31/2025",'Dogs - 2025'!$J:$J,"Euthanized")</f>
        <v>0</v>
      </c>
      <c r="U12">
        <f>COUNTIFS('Dogs - 2025'!$K:$K,"Unweaned",'Dogs - 2025'!$E:$E,"&gt;=10/01/2025",'Dogs - 2025'!$E:$E,"&lt;=10/31/2025",'Dogs - 2025'!$J:$J,"Euthanized")</f>
        <v>0</v>
      </c>
      <c r="V12" s="9">
        <f t="shared" si="3"/>
        <v>0</v>
      </c>
    </row>
    <row r="13" spans="1:22" x14ac:dyDescent="0.2">
      <c r="A13" t="s">
        <v>346</v>
      </c>
      <c r="B13">
        <f>COUNTIFS('Dogs - 2025'!$D:$D,"0-6 months",'Dogs - 2025'!$E:$E,"&gt;=11/01/2025",'Dogs - 2025'!$E:$E,"&lt;=11/30/2025")</f>
        <v>0</v>
      </c>
      <c r="C13">
        <f>COUNTIFS('Dogs - 2025'!$D:$D,"6-12 months",'Dogs - 2025'!$E:$E,"&gt;=11/01/2025",'Dogs - 2025'!$E:$E,"&lt;=11/30/2025")</f>
        <v>0</v>
      </c>
      <c r="D13">
        <f>COUNTIFS('Dogs - 2025'!$D:$D,"Adult",'Dogs - 2025'!$E:$E,"&gt;=11/01/2025",'Dogs - 2025'!$E:$E,"&lt;=11/30/2025")</f>
        <v>0</v>
      </c>
      <c r="E13">
        <f>COUNTIFS('Dogs - 2025'!$D:$D,"Senior",'Dogs - 2025'!$E:$E,"&gt;=11/01/2025",'Dogs - 2025'!$E:$E,"&lt;=11/30/2025")</f>
        <v>0</v>
      </c>
      <c r="F13" s="9">
        <f t="shared" si="0"/>
        <v>0</v>
      </c>
      <c r="H13" t="s">
        <v>346</v>
      </c>
      <c r="I13">
        <f>COUNTIFS('Dogs - 2025'!$D:$D,"0-6 months",'Dogs - 2025'!$E:$E,"&gt;=11/01/2025",'Dogs - 2025'!$E:$E,"&lt;=11/30/2025",'Dogs - 2025'!$J:$J,"Euthanized")</f>
        <v>0</v>
      </c>
      <c r="J13">
        <f>COUNTIFS('Dogs - 2025'!$D:$D,"6-12 months",'Dogs - 2025'!$E:$E,"&gt;=11/01/2025",'Dogs - 2025'!$E:$E,"&lt;=11/30/2025",'Dogs - 2025'!$J:$J,"Euthanized")</f>
        <v>0</v>
      </c>
      <c r="K13">
        <f>COUNTIFS('Dogs - 2025'!$D:$D,"Adult",'Dogs - 2025'!$E:$E,"&gt;=11/01/2025",'Dogs - 2025'!$E:$E,"&lt;=11/30/2025",'Dogs - 2025'!$J:$J,"Euthanized")</f>
        <v>0</v>
      </c>
      <c r="L13">
        <f>COUNTIFS('Dogs - 2025'!$D:$D,"Senior",'Dogs - 2025'!$E:$E,"&gt;=11/01/2025",'Dogs - 2025'!$E:$E,"&lt;=11/30/2025",'Dogs - 2025'!$J:$J,"Euthanized")</f>
        <v>0</v>
      </c>
      <c r="M13" s="9">
        <f t="shared" si="1"/>
        <v>0</v>
      </c>
      <c r="N13" s="19"/>
      <c r="P13" t="s">
        <v>346</v>
      </c>
      <c r="Q13">
        <f>COUNTIFS('Dogs - 2025'!$K:$K,"Dangerous",'Dogs - 2025'!$E:$E,"&gt;=11/01/2025",'Dogs - 2025'!$E:$E,"&lt;=11/30/2025",'Dogs - 2025'!$J:$J,"Euthanized")</f>
        <v>0</v>
      </c>
      <c r="R13">
        <f>COUNTIFS('Dogs - 2025'!$K:$K,"Injured/Sick",'Dogs - 2025'!$E:$E,"&gt;=11/01/2025",'Dogs - 2025'!$E:$E,"&lt;=11/30/2025",'Dogs - 2025'!$J:$J,"Euthanized")</f>
        <v>0</v>
      </c>
      <c r="S13">
        <f>COUNTIFS('Dogs - 2025'!$K:$K,"Owner Request",'Dogs - 2025'!$E:$E,"&gt;=11/01/2025",'Dogs - 2025'!$E:$E,"&lt;=11/30/2025",'Dogs - 2025'!$J:$J,"Euthanized")</f>
        <v>0</v>
      </c>
      <c r="T13">
        <f>COUNTIFS('Dogs - 2025'!$K:$K,"Space",'Dogs - 2025'!$E:$E,"&gt;=11/01/2025",'Dogs - 2025'!$E:$E,"&lt;=11/30/2025",'Dogs - 2025'!$J:$J,"Euthanized")</f>
        <v>0</v>
      </c>
      <c r="U13">
        <f>COUNTIFS('Dogs - 2025'!$K:$K,"Unweaned",'Dogs - 2025'!$E:$E,"&gt;=11/01/2025",'Dogs - 2025'!$E:$E,"&lt;=11/30/2025",'Dogs - 2025'!$J:$J,"Euthanized")</f>
        <v>0</v>
      </c>
      <c r="V13" s="9">
        <f t="shared" si="3"/>
        <v>0</v>
      </c>
    </row>
    <row r="14" spans="1:22" x14ac:dyDescent="0.2">
      <c r="A14" t="s">
        <v>347</v>
      </c>
      <c r="B14">
        <f>COUNTIFS('Dogs - 2025'!$D:$D,"0-6 months",'Dogs - 2025'!$E:$E,"&gt;=12/01/2025",'Dogs - 2025'!$E:$E,"&lt;=12/31/2025")</f>
        <v>0</v>
      </c>
      <c r="C14">
        <f>COUNTIFS('Dogs - 2025'!$D:$D,"6-12 months",'Dogs - 2025'!$E:$E,"&gt;=12/01/2025",'Dogs - 2025'!$E:$E,"&lt;=12/31/2025")</f>
        <v>0</v>
      </c>
      <c r="D14">
        <f>COUNTIFS('Dogs - 2025'!$D:$D,"Adult",'Dogs - 2025'!$E:$E,"&gt;=12/01/2025",'Dogs - 2025'!$E:$E,"&lt;=12/31/2025")</f>
        <v>0</v>
      </c>
      <c r="E14">
        <f>COUNTIFS('Dogs - 2025'!$D:$D,"Senior",'Dogs - 2025'!$E:$E,"&gt;=12/01/2025",'Dogs - 2025'!$E:$E,"&lt;=12/31/2025")</f>
        <v>0</v>
      </c>
      <c r="F14" s="9">
        <f t="shared" si="0"/>
        <v>0</v>
      </c>
      <c r="H14" t="s">
        <v>347</v>
      </c>
      <c r="I14">
        <f>COUNTIFS('Dogs - 2025'!$D:$D,"0-6 months",'Dogs - 2025'!$E:$E,"&gt;=12/01/2025",'Dogs - 2025'!$E:$E,"&lt;=12/31/2025",'Dogs - 2025'!$J:$J,"Euthanized")</f>
        <v>0</v>
      </c>
      <c r="J14">
        <f>COUNTIFS('Dogs - 2025'!$D:$D,"6-12 months",'Dogs - 2025'!$E:$E,"&gt;=12/01/2025",'Dogs - 2025'!$E:$E,"&lt;=12/31/2025",'Dogs - 2025'!$J:$J,"Euthanized")</f>
        <v>0</v>
      </c>
      <c r="K14">
        <f>COUNTIFS('Dogs - 2025'!$D:$D,"Adult",'Dogs - 2025'!$E:$E,"&gt;=12/01/2025",'Dogs - 2025'!$E:$E,"&lt;=12/31/2025",'Dogs - 2025'!$J:$J,"Euthanized")</f>
        <v>0</v>
      </c>
      <c r="L14">
        <f>COUNTIFS('Dogs - 2025'!$D:$D,"Senior",'Dogs - 2025'!$E:$E,"&gt;=12/01/2025",'Dogs - 2025'!$E:$E,"&lt;=12/31/2025",'Dogs - 2025'!$J:$J,"Euthanized")</f>
        <v>0</v>
      </c>
      <c r="M14" s="9">
        <f t="shared" si="1"/>
        <v>0</v>
      </c>
      <c r="N14" s="19"/>
      <c r="P14" t="s">
        <v>347</v>
      </c>
      <c r="Q14">
        <f>COUNTIFS('Dogs - 2025'!$K:$K,"Dangerous",'Dogs - 2025'!$E:$E,"&gt;=12/01/2025",'Dogs - 2025'!$E:$E,"&lt;=12/31/2025",'Dogs - 2025'!$J:$J,"Euthanized")</f>
        <v>0</v>
      </c>
      <c r="R14">
        <f>COUNTIFS('Dogs - 2025'!$K:$K,"Injured/Sick",'Dogs - 2025'!$E:$E,"&gt;=12/01/2025",'Dogs - 2025'!$E:$E,"&lt;=12/31/2025",'Dogs - 2025'!$J:$J,"Euthanized")</f>
        <v>0</v>
      </c>
      <c r="S14">
        <f>COUNTIFS('Dogs - 2025'!$K:$K,"Owner Request",'Dogs - 2025'!$E:$E,"&gt;=12/01/2025",'Dogs - 2025'!$E:$E,"&lt;=12/31/2025",'Dogs - 2025'!$J:$J,"Euthanized")</f>
        <v>0</v>
      </c>
      <c r="T14">
        <f>COUNTIFS('Dogs - 2025'!$K:$K,"Space",'Dogs - 2025'!$E:$E,"&gt;=12/01/2025",'Dogs - 2025'!$E:$E,"&lt;=12/31/2025",'Dogs - 2025'!$J:$J,"Euthanized")</f>
        <v>0</v>
      </c>
      <c r="U14">
        <f>COUNTIFS('Dogs - 2025'!$K:$K,"Unweaned",'Dogs - 2025'!$E:$E,"&gt;=12/01/2025",'Dogs - 2025'!$E:$E,"&lt;=12/31/2025",'Dogs - 2025'!$J:$J,"Euthanized")</f>
        <v>0</v>
      </c>
      <c r="V14" s="9">
        <f t="shared" si="3"/>
        <v>0</v>
      </c>
    </row>
    <row r="15" spans="1:22" x14ac:dyDescent="0.2">
      <c r="A15" s="12"/>
      <c r="B15" s="12">
        <f>SUM(B3:B14)</f>
        <v>319</v>
      </c>
      <c r="C15" s="12">
        <f>SUM(C3:C14)</f>
        <v>77</v>
      </c>
      <c r="D15" s="12">
        <f>SUM(D3:D14)</f>
        <v>558</v>
      </c>
      <c r="E15" s="12">
        <f>SUM(E3:E14)</f>
        <v>29</v>
      </c>
      <c r="F15" s="12">
        <f>SUM(F3:F14)</f>
        <v>983</v>
      </c>
      <c r="H15" s="12"/>
      <c r="I15" s="12">
        <f>SUM(I3:I14)</f>
        <v>208</v>
      </c>
      <c r="J15" s="12">
        <f>SUM(J3:J14)</f>
        <v>43</v>
      </c>
      <c r="K15" s="12">
        <f>SUM(K3:K14)</f>
        <v>304</v>
      </c>
      <c r="L15" s="12">
        <f>SUM(L3:L14)</f>
        <v>22</v>
      </c>
      <c r="M15" s="12">
        <f>SUM(M3:M14)</f>
        <v>577</v>
      </c>
      <c r="N15" s="12"/>
      <c r="P15" s="12"/>
      <c r="Q15" s="12">
        <f t="shared" ref="Q15:V15" si="4">SUM(Q3:Q14)</f>
        <v>13</v>
      </c>
      <c r="R15" s="12">
        <f t="shared" si="4"/>
        <v>65</v>
      </c>
      <c r="S15" s="12">
        <f t="shared" si="4"/>
        <v>11</v>
      </c>
      <c r="T15" s="12">
        <f t="shared" si="4"/>
        <v>486</v>
      </c>
      <c r="U15" s="12">
        <f t="shared" si="4"/>
        <v>1</v>
      </c>
      <c r="V15" s="12">
        <f t="shared" si="4"/>
        <v>576</v>
      </c>
    </row>
    <row r="17" spans="1:17" ht="35" customHeight="1" x14ac:dyDescent="0.2">
      <c r="A17" s="40" t="s">
        <v>18</v>
      </c>
      <c r="B17" s="40"/>
      <c r="C17" s="40"/>
      <c r="D17" s="40"/>
      <c r="E17" s="40"/>
      <c r="F17" s="16">
        <f>F31/F15</f>
        <v>0.11190233977619532</v>
      </c>
      <c r="G17" s="18"/>
      <c r="H17" s="40" t="s">
        <v>11</v>
      </c>
      <c r="I17" s="40"/>
      <c r="J17" s="40"/>
      <c r="K17" s="40"/>
      <c r="L17" s="40"/>
      <c r="M17" s="16">
        <f>M31/F15</f>
        <v>0.12512716174974567</v>
      </c>
      <c r="P17" s="32" t="s">
        <v>31</v>
      </c>
      <c r="Q17" s="32"/>
    </row>
    <row r="18" spans="1:17" x14ac:dyDescent="0.2">
      <c r="A18" s="8"/>
      <c r="B18" s="13" t="s">
        <v>208</v>
      </c>
      <c r="C18" s="13" t="s">
        <v>209</v>
      </c>
      <c r="D18" s="13" t="s">
        <v>207</v>
      </c>
      <c r="E18" s="13" t="s">
        <v>210</v>
      </c>
      <c r="F18" s="14" t="s">
        <v>201</v>
      </c>
      <c r="H18" s="8"/>
      <c r="I18" s="13" t="s">
        <v>208</v>
      </c>
      <c r="J18" s="13" t="s">
        <v>209</v>
      </c>
      <c r="K18" s="13" t="s">
        <v>207</v>
      </c>
      <c r="L18" s="13" t="s">
        <v>210</v>
      </c>
      <c r="M18" s="14" t="s">
        <v>201</v>
      </c>
      <c r="P18" s="8"/>
      <c r="Q18" s="13"/>
    </row>
    <row r="19" spans="1:17" x14ac:dyDescent="0.2">
      <c r="A19" t="s">
        <v>336</v>
      </c>
      <c r="B19">
        <f>COUNTIFS('Dogs - 2025'!$D:$D,"0-6 months",'Dogs - 2025'!$E:$E,"&gt;=01/01/2025",'Dogs - 2025'!$E:$E,"&lt;=1/31/2025",'Dogs - 2025'!$J:$J,"Transferred")</f>
        <v>9</v>
      </c>
      <c r="C19">
        <f>COUNTIFS('Dogs - 2025'!$D:$D,"6-12 months",'Dogs - 2025'!$E:$E,"&gt;=01/01/2025",'Dogs - 2025'!$E:$E,"&lt;=1/31/2025",'Dogs - 2025'!$J:$J,"Transferred")</f>
        <v>2</v>
      </c>
      <c r="D19">
        <f>COUNTIFS('Dogs - 2025'!$D:$D,"Adult",'Dogs - 2025'!$E:$E,"&gt;=01/01/2025",'Dogs - 2025'!$E:$E,"&lt;=1/31/2025",'Dogs - 2025'!$J:$J,"Transferred")</f>
        <v>5</v>
      </c>
      <c r="E19">
        <f>COUNTIFS('Dogs - 2025'!$D:$D,"Senior",'Dogs - 2025'!$E:$E,"&gt;=01/01/2025",'Dogs - 2025'!$E:$E,"&lt;=1/31/2025",'Dogs - 2025'!$J:$J,"Transferred")</f>
        <v>0</v>
      </c>
      <c r="F19" s="9">
        <f>SUM(B19:E19)</f>
        <v>16</v>
      </c>
      <c r="H19" t="s">
        <v>336</v>
      </c>
      <c r="I19">
        <f>COUNTIFS('Dogs - 2025'!$D:$D,"0-6 months",'Dogs - 2025'!$E:$E,"&gt;=01/01/2025",'Dogs - 2025'!$E:$E,"&lt;=1/31/2025",'Dogs - 2025'!$J:$J,"Adopted")</f>
        <v>9</v>
      </c>
      <c r="J19">
        <f>COUNTIFS('Dogs - 2025'!$D:$D,"6-12 months",'Dogs - 2025'!$E:$E,"&gt;=01/01/2025",'Dogs - 2025'!$E:$E,"&lt;=1/31/2025",'Dogs - 2025'!$J:$J,"Adopted")</f>
        <v>1</v>
      </c>
      <c r="K19">
        <f>COUNTIFS('Dogs - 2025'!$D:$D,"Adult",'Dogs - 2025'!$E:$E,"&gt;=01/01/2025",'Dogs - 2025'!$E:$E,"&lt;=1/31/2025",'Dogs - 2025'!$J:$J,"Adopted")</f>
        <v>9</v>
      </c>
      <c r="L19">
        <f>COUNTIFS('Dogs - 2025'!$D:$D,"Senior",'Dogs - 2025'!$E:$E,"&gt;=01/01/2025",'Dogs - 2025'!$E:$E,"&lt;=1/31/2025",'Dogs - 2025'!$J:$J,"Adopted")</f>
        <v>0</v>
      </c>
      <c r="M19" s="9">
        <f>SUM(I19:L19)</f>
        <v>19</v>
      </c>
      <c r="P19" t="s">
        <v>615</v>
      </c>
      <c r="Q19">
        <f>COUNTIFS('Dogs - 2025'!$AD:$AD,'Dog Report'!P19,'Dogs - 2025'!$J:$J,"Euthanized")</f>
        <v>76</v>
      </c>
    </row>
    <row r="20" spans="1:17" x14ac:dyDescent="0.2">
      <c r="A20" t="s">
        <v>337</v>
      </c>
      <c r="B20">
        <f>COUNTIFS('Dogs - 2025'!$D:$D,"0-6 months",'Dogs - 2025'!$E:$E,"&gt;=02/01/2025",'Dogs - 2025'!$E:$E,"&lt;=2/28/2025",'Dogs - 2025'!$J:$J,"Transferred")</f>
        <v>5</v>
      </c>
      <c r="C20">
        <f>COUNTIFS('Dogs - 2025'!$D:$D,"6-12 months",'Dogs - 2025'!$E:$E,"&gt;=02/01/2025",'Dogs - 2025'!$E:$E,"&lt;=2/28/2025",'Dogs - 2025'!$J:$J,"Transferred")</f>
        <v>0</v>
      </c>
      <c r="D20">
        <f>COUNTIFS('Dogs - 2025'!$D:$D,"Adult",'Dogs - 2025'!$E:$E,"&gt;=02/01/2025",'Dogs - 2025'!$E:$E,"&lt;=2/28/2025",'Dogs - 2025'!$J:$J,"Transferred")</f>
        <v>8</v>
      </c>
      <c r="E20">
        <f>COUNTIFS('Dogs - 2025'!$D:$D,"Senior",'Dogs - 2025'!$E:$E,"&gt;=02/01/2025",'Dogs - 2025'!$E:$E,"&lt;=2/28/2025",'Dogs - 2025'!$J:$J,"Transferred")</f>
        <v>0</v>
      </c>
      <c r="F20" s="9">
        <f t="shared" ref="F20:F30" si="5">SUM(B20:E20)</f>
        <v>13</v>
      </c>
      <c r="H20" t="s">
        <v>337</v>
      </c>
      <c r="I20">
        <f>COUNTIFS('Dogs - 2025'!$D:$D,"0-6 months",'Dogs - 2025'!$E:$E,"&gt;=02/01/2025",'Dogs - 2025'!$E:$E,"&lt;=2/28/2025",'Dogs - 2025'!$J:$J,"Adopted")</f>
        <v>1</v>
      </c>
      <c r="J20">
        <f>COUNTIFS('Dogs - 2025'!$D:$D,"6-12 months",'Dogs - 2025'!$E:$E,"&gt;=02/01/2025",'Dogs - 2025'!$E:$E,"&lt;=2/28/2025",'Dogs - 2025'!$J:$J,"Adopted")</f>
        <v>0</v>
      </c>
      <c r="K20">
        <f>COUNTIFS('Dogs - 2025'!$D:$D,"Adult",'Dogs - 2025'!$E:$E,"&gt;=02/01/2025",'Dogs - 2025'!$E:$E,"&lt;=2/28/2025",'Dogs - 2025'!$J:$J,"Adopted")</f>
        <v>5</v>
      </c>
      <c r="L20">
        <f>COUNTIFS('Dogs - 2025'!$D:$D,"Senior",'Dogs - 2025'!$E:$E,"&gt;=02/01/2025",'Dogs - 2025'!$E:$E,"&lt;=2/28/2025",'Dogs - 2025'!$J:$J,"Adopted")</f>
        <v>0</v>
      </c>
      <c r="M20" s="9">
        <f t="shared" ref="M20:M30" si="6">SUM(I20:L20)</f>
        <v>6</v>
      </c>
      <c r="P20" t="s">
        <v>616</v>
      </c>
      <c r="Q20">
        <f>COUNTIFS('Dogs - 2025'!$AD:$AD,'Dog Report'!P20,'Dogs - 2025'!$J:$J,"Euthanized")</f>
        <v>145</v>
      </c>
    </row>
    <row r="21" spans="1:17" x14ac:dyDescent="0.2">
      <c r="A21" t="s">
        <v>338</v>
      </c>
      <c r="B21">
        <f>COUNTIFS('Dogs - 2025'!$D:$D,"0-6 months",'Dogs - 2025'!$E:$E,"&gt;=03/01/2025",'Dogs - 2025'!$E:$E,"&lt;=3/31/2025",'Dogs - 2025'!$J:$J,"Transferred")</f>
        <v>3</v>
      </c>
      <c r="C21">
        <f>COUNTIFS('Dogs - 2025'!$D:$D,"6-12 months",'Dogs - 2025'!$E:$E,"&gt;=03/01/2025",'Dogs - 2025'!$E:$E,"&lt;=3/31/2025",'Dogs - 2025'!$J:$J,"Transferred")</f>
        <v>1</v>
      </c>
      <c r="D21">
        <f>COUNTIFS('Dogs - 2025'!$D:$D,"Adult",'Dogs - 2025'!$E:$E,"&gt;=03/01/2025",'Dogs - 2025'!$E:$E,"&lt;=3/31/2025",'Dogs - 2025'!$J:$J,"Transferred")</f>
        <v>5</v>
      </c>
      <c r="E21">
        <f>COUNTIFS('Dogs - 2025'!$D:$D,"Senior",'Dogs - 2025'!$E:$E,"&gt;=03/01/2025",'Dogs - 2025'!$E:$E,"&lt;=3/31/2025",'Dogs - 2025'!$J:$J,"Transferred")</f>
        <v>0</v>
      </c>
      <c r="F21" s="9">
        <f t="shared" si="5"/>
        <v>9</v>
      </c>
      <c r="H21" t="s">
        <v>338</v>
      </c>
      <c r="I21">
        <f>COUNTIFS('Dogs - 2025'!$D:$D,"0-6 months",'Dogs - 2025'!$E:$E,"&gt;=03/01/2025",'Dogs - 2025'!$E:$E,"&lt;=3/31/2025",'Dogs - 2025'!$J:$J,"Adopted")</f>
        <v>20</v>
      </c>
      <c r="J21">
        <f>COUNTIFS('Dogs - 2025'!$D:$D,"6-12 months",'Dogs - 2025'!$E:$E,"&gt;=03/01/2025",'Dogs - 2025'!$E:$E,"&lt;=3/31/2025",'Dogs - 2025'!$J:$J,"Adopted")</f>
        <v>3</v>
      </c>
      <c r="K21">
        <f>COUNTIFS('Dogs - 2025'!$D:$D,"Adult",'Dogs - 2025'!$E:$E,"&gt;=03/01/2025",'Dogs - 2025'!$E:$E,"&lt;=3/31/2025",'Dogs - 2025'!$J:$J,"Adopted")</f>
        <v>8</v>
      </c>
      <c r="L21">
        <f>COUNTIFS('Dogs - 2025'!$D:$D,"Senior",'Dogs - 2025'!$E:$E,"&gt;=03/01/2025",'Dogs - 2025'!$E:$E,"&lt;=3/31/2025",'Dogs - 2025'!$J:$J,"Adopted")</f>
        <v>0</v>
      </c>
      <c r="M21" s="9">
        <f t="shared" si="6"/>
        <v>31</v>
      </c>
      <c r="P21" t="s">
        <v>14</v>
      </c>
      <c r="Q21">
        <f>COUNTIFS('Dogs - 2025'!$AD:$AD,'Dog Report'!P21,'Dogs - 2025'!$J:$J,"Euthanized")</f>
        <v>112</v>
      </c>
    </row>
    <row r="22" spans="1:17" x14ac:dyDescent="0.2">
      <c r="A22" t="s">
        <v>339</v>
      </c>
      <c r="B22">
        <f>COUNTIFS('Dogs - 2025'!$D:$D,"0-6 months",'Dogs - 2025'!$E:$E,"&gt;=04/01/2025",'Dogs - 2025'!$E:$E,"&lt;=4/30/2025",'Dogs - 2025'!$J:$J,"Transferred")</f>
        <v>8</v>
      </c>
      <c r="C22">
        <f>COUNTIFS('Dogs - 2025'!$D:$D,"6-12 months",'Dogs - 2025'!$E:$E,"&gt;=04/01/2025",'Dogs - 2025'!$E:$E,"&lt;=4/30/2025",'Dogs - 2025'!$J:$J,"Transferred")</f>
        <v>2</v>
      </c>
      <c r="D22">
        <f>COUNTIFS('Dogs - 2025'!$D:$D,"Adult",'Dogs - 2025'!$E:$E,"&gt;=04/01/2025",'Dogs - 2025'!$E:$E,"&lt;=4/30/2025",'Dogs - 2025'!$J:$J,"Transferred")</f>
        <v>2</v>
      </c>
      <c r="E22">
        <f>COUNTIFS('Dogs - 2025'!$D:$D,"Senior",'Dogs - 2025'!$E:$E,"&gt;=04/01/2025",'Dogs - 2025'!$E:$E,"&lt;=4/30/2025",'Dogs - 2025'!$J:$J,"Transferred")</f>
        <v>0</v>
      </c>
      <c r="F22" s="9">
        <f t="shared" si="5"/>
        <v>12</v>
      </c>
      <c r="H22" t="s">
        <v>339</v>
      </c>
      <c r="I22">
        <f>COUNTIFS('Dogs - 2025'!$D:$D,"0-6 months",'Dogs - 2025'!$E:$E,"&gt;=04/01/2025",'Dogs - 2025'!$E:$E,"&lt;=4/30/2025",'Dogs - 2025'!$J:$J,"Adopted")</f>
        <v>8</v>
      </c>
      <c r="J22">
        <f>COUNTIFS('Dogs - 2025'!$D:$D,"6-12 months",'Dogs - 2025'!$E:$E,"&gt;=04/01/2025",'Dogs - 2025'!$E:$E,"&lt;=4/30/2025",'Dogs - 2025'!$J:$J,"Adopted")</f>
        <v>2</v>
      </c>
      <c r="K22">
        <f>COUNTIFS('Dogs - 2025'!$D:$D,"Adult",'Dogs - 2025'!$E:$E,"&gt;=04/01/2025",'Dogs - 2025'!$E:$E,"&lt;=4/30/2025",'Dogs - 2025'!$J:$J,"Adopted")</f>
        <v>5</v>
      </c>
      <c r="L22">
        <f>COUNTIFS('Dogs - 2025'!$D:$D,"Senior",'Dogs - 2025'!$E:$E,"&gt;=04/01/2025",'Dogs - 2025'!$E:$E,"&lt;=4/30/2025",'Dogs - 2025'!$J:$J,"Adopted")</f>
        <v>0</v>
      </c>
      <c r="M22" s="9">
        <f t="shared" si="6"/>
        <v>15</v>
      </c>
      <c r="P22" t="s">
        <v>617</v>
      </c>
      <c r="Q22">
        <f>COUNTIFS('Dogs - 2025'!$AD:$AD,'Dog Report'!P22,'Dogs - 2025'!$J:$J,"Euthanized")</f>
        <v>105</v>
      </c>
    </row>
    <row r="23" spans="1:17" x14ac:dyDescent="0.2">
      <c r="A23" t="s">
        <v>340</v>
      </c>
      <c r="B23">
        <f>COUNTIFS('Dogs - 2025'!$D:$D,"0-6 months",'Dogs - 2025'!$E:$E,"&gt;=05/01/2025",'Dogs - 2025'!$E:$E,"&lt;=5/31/2025",'Dogs - 2025'!$J:$J,"Transferred")</f>
        <v>3</v>
      </c>
      <c r="C23">
        <f>COUNTIFS('Dogs - 2025'!$D:$D,"6-12 months",'Dogs - 2025'!$E:$E,"&gt;=05/01/2025",'Dogs - 2025'!$E:$E,"&lt;=5/31/2025",'Dogs - 2025'!$J:$J,"Transferred")</f>
        <v>0</v>
      </c>
      <c r="D23">
        <f>COUNTIFS('Dogs - 2025'!$D:$D,"Adult",'Dogs - 2025'!$E:$E,"&gt;=05/01/2025",'Dogs - 2025'!$E:$E,"&lt;=5/31/2025",'Dogs - 2025'!$J:$J,"Transferred")</f>
        <v>8</v>
      </c>
      <c r="E23">
        <f>COUNTIFS('Dogs - 2025'!$D:$D,"Senior",'Dogs - 2025'!$E:$E,"&gt;=05/01/2025",'Dogs - 2025'!$E:$E,"&lt;=5/31/2025",'Dogs - 2025'!$J:$J,"Transferred")</f>
        <v>0</v>
      </c>
      <c r="F23" s="9">
        <f t="shared" si="5"/>
        <v>11</v>
      </c>
      <c r="H23" t="s">
        <v>340</v>
      </c>
      <c r="I23">
        <f>COUNTIFS('Dogs - 2025'!$D:$D,"0-6 months",'Dogs - 2025'!$E:$E,"&gt;=05/01/2025",'Dogs - 2025'!$E:$E,"&lt;=5/31/2025",'Dogs - 2025'!$J:$J,"Adopted")</f>
        <v>8</v>
      </c>
      <c r="J23">
        <f>COUNTIFS('Dogs - 2025'!$D:$D,"6-12 months",'Dogs - 2025'!$E:$E,"&gt;=05/01/2025",'Dogs - 2025'!$E:$E,"&lt;=5/31/2025",'Dogs - 2025'!$J:$J,"Adopted")</f>
        <v>2</v>
      </c>
      <c r="K23">
        <f>COUNTIFS('Dogs - 2025'!$D:$D,"Adult",'Dogs - 2025'!$E:$E,"&gt;=05/01/2025",'Dogs - 2025'!$E:$E,"&lt;=5/31/2025",'Dogs - 2025'!$J:$J,"Adopted")</f>
        <v>4</v>
      </c>
      <c r="L23">
        <f>COUNTIFS('Dogs - 2025'!$D:$D,"Senior",'Dogs - 2025'!$E:$E,"&gt;=05/01/2025",'Dogs - 2025'!$E:$E,"&lt;=5/31/2025",'Dogs - 2025'!$J:$J,"Adopted")</f>
        <v>0</v>
      </c>
      <c r="M23" s="9">
        <f t="shared" si="6"/>
        <v>14</v>
      </c>
      <c r="P23" t="s">
        <v>618</v>
      </c>
      <c r="Q23">
        <f>COUNTIFS('Dogs - 2025'!$AD:$AD,'Dog Report'!P23,'Dogs - 2025'!$J:$J,"Euthanized")</f>
        <v>115</v>
      </c>
    </row>
    <row r="24" spans="1:17" x14ac:dyDescent="0.2">
      <c r="A24" t="s">
        <v>341</v>
      </c>
      <c r="B24">
        <f>COUNTIFS('Dogs - 2025'!$D:$D,"0-6 months",'Dogs - 2025'!$E:$E,"&gt;=06/01/2025",'Dogs - 2025'!$E:$E,"&lt;=6/30/2025",'Dogs - 2025'!$J:$J,"Transferred")</f>
        <v>0</v>
      </c>
      <c r="C24">
        <f>COUNTIFS('Dogs - 2025'!$D:$D,"6-12 months",'Dogs - 2025'!$E:$E,"&gt;=06/01/2025",'Dogs - 2025'!$E:$E,"&lt;=6/30/2025",'Dogs - 2025'!$J:$J,"Transferred")</f>
        <v>0</v>
      </c>
      <c r="D24">
        <f>COUNTIFS('Dogs - 2025'!$D:$D,"Adult",'Dogs - 2025'!$E:$E,"&gt;=06/01/2025",'Dogs - 2025'!$E:$E,"&lt;=6/30/2025",'Dogs - 2025'!$J:$J,"Transferred")</f>
        <v>6</v>
      </c>
      <c r="E24">
        <f>COUNTIFS('Dogs - 2025'!$D:$D,"Senior",'Dogs - 2025'!$E:$E,"&gt;=06/01/2025",'Dogs - 2025'!$E:$E,"&lt;=6/30/2025",'Dogs - 2025'!$J:$J,"Transferred")</f>
        <v>0</v>
      </c>
      <c r="F24" s="9">
        <f t="shared" si="5"/>
        <v>6</v>
      </c>
      <c r="H24" t="s">
        <v>341</v>
      </c>
      <c r="I24">
        <f>COUNTIFS('Dogs - 2025'!$D:$D,"0-6 months",'Dogs - 2025'!$E:$E,"&gt;=06/01/2025",'Dogs - 2025'!$E:$E,"&lt;=6/30/2025",'Dogs - 2025'!$J:$J,"Adopted")</f>
        <v>6</v>
      </c>
      <c r="J24">
        <f>COUNTIFS('Dogs - 2025'!$D:$D,"6-12 months",'Dogs - 2025'!$E:$E,"&gt;=06/01/2025",'Dogs - 2025'!$E:$E,"&lt;=6/30/2025",'Dogs - 2025'!$J:$J,"Adopted")</f>
        <v>2</v>
      </c>
      <c r="K24">
        <f>COUNTIFS('Dogs - 2025'!$D:$D,"Adult",'Dogs - 2025'!$E:$E,"&gt;=06/01/2025",'Dogs - 2025'!$E:$E,"&lt;=6/30/2025",'Dogs - 2025'!$J:$J,"Adopted")</f>
        <v>6</v>
      </c>
      <c r="L24">
        <f>COUNTIFS('Dogs - 2025'!$D:$D,"Senior",'Dogs - 2025'!$E:$E,"&gt;=06/01/2025",'Dogs - 2025'!$E:$E,"&lt;=6/30/2025",'Dogs - 2025'!$J:$J,"Adopted")</f>
        <v>0</v>
      </c>
      <c r="M24" s="9">
        <f t="shared" si="6"/>
        <v>14</v>
      </c>
      <c r="P24" t="s">
        <v>619</v>
      </c>
      <c r="Q24">
        <f>COUNTIFS('Dogs - 2025'!$AD:$AD,'Dog Report'!P24,'Dogs - 2025'!$J:$J,"Euthanized")</f>
        <v>2</v>
      </c>
    </row>
    <row r="25" spans="1:17" x14ac:dyDescent="0.2">
      <c r="A25" t="s">
        <v>342</v>
      </c>
      <c r="B25">
        <f>COUNTIFS('Dogs - 2025'!$D:$D,"0-6 months",'Dogs - 2025'!$E:$E,"&gt;=07/01/2025",'Dogs - 2025'!$E:$E,"&lt;=7/31/2025",'Dogs - 2025'!$J:$J,"Transferred")</f>
        <v>0</v>
      </c>
      <c r="C25">
        <f>COUNTIFS('Dogs - 2025'!$D:$D,"6-12 months",'Dogs - 2025'!$E:$E,"&gt;=07/01/2025",'Dogs - 2025'!$E:$E,"&lt;=7/31/2025",'Dogs - 2025'!$J:$J,"Transferred")</f>
        <v>3</v>
      </c>
      <c r="D25">
        <f>COUNTIFS('Dogs - 2025'!$D:$D,"Adult",'Dogs - 2025'!$E:$E,"&gt;=07/01/2025",'Dogs - 2025'!$E:$E,"&lt;=7/31/2025",'Dogs - 2025'!$J:$J,"Transferred")</f>
        <v>12</v>
      </c>
      <c r="E25">
        <f>COUNTIFS('Dogs - 2025'!$D:$D,"Senior",'Dogs - 2025'!$E:$E,"&gt;=07/01/2025",'Dogs - 2025'!$E:$E,"&lt;=7/31/2025",'Dogs - 2025'!$J:$J,"Transferred")</f>
        <v>0</v>
      </c>
      <c r="F25" s="9">
        <f t="shared" si="5"/>
        <v>15</v>
      </c>
      <c r="H25" t="s">
        <v>342</v>
      </c>
      <c r="I25">
        <f>COUNTIFS('Dogs - 2025'!$D:$D,"0-6 months",'Dogs - 2025'!$E:$E,"&gt;=07/01/2025",'Dogs - 2025'!$E:$E,"&lt;=7/31/2025",'Dogs - 2025'!$J:$J,"Adopted")</f>
        <v>2</v>
      </c>
      <c r="J25">
        <f>COUNTIFS('Dogs - 2025'!$D:$D,"6-12 months",'Dogs - 2025'!$E:$E,"&gt;=07/01/2025",'Dogs - 2025'!$E:$E,"&lt;=7/31/2025",'Dogs - 2025'!$J:$J,"Adopted")</f>
        <v>3</v>
      </c>
      <c r="K25">
        <f>COUNTIFS('Dogs - 2025'!$D:$D,"Adult",'Dogs - 2025'!$E:$E,"&gt;=07/01/2025",'Dogs - 2025'!$E:$E,"&lt;=7/31/2025",'Dogs - 2025'!$J:$J,"Adopted")</f>
        <v>7</v>
      </c>
      <c r="L25">
        <f>COUNTIFS('Dogs - 2025'!$D:$D,"Senior",'Dogs - 2025'!$E:$E,"&gt;=07/01/2025",'Dogs - 2025'!$E:$E,"&lt;=7/31/2025",'Dogs - 2025'!$J:$J,"Adopted")</f>
        <v>0</v>
      </c>
      <c r="M25" s="9">
        <f t="shared" si="6"/>
        <v>12</v>
      </c>
      <c r="P25" t="s">
        <v>576</v>
      </c>
      <c r="Q25">
        <f>COUNTIFS('Dogs - 2025'!$AD:$AD,'Dog Report'!P25,'Dogs - 2025'!$J:$J,"Euthanized")</f>
        <v>22</v>
      </c>
    </row>
    <row r="26" spans="1:17" x14ac:dyDescent="0.2">
      <c r="A26" t="s">
        <v>343</v>
      </c>
      <c r="B26">
        <f>COUNTIFS('Dogs - 2025'!$D:$D,"0-6 months",'Dogs - 2025'!$E:$E,"&gt;=08/01/2025",'Dogs - 2025'!$E:$E,"&lt;=8/31/2025",'Dogs - 2025'!$J:$J,"Transferred")</f>
        <v>8</v>
      </c>
      <c r="C26">
        <f>COUNTIFS('Dogs - 2025'!$D:$D,"6-12 months",'Dogs - 2025'!$E:$E,"&gt;=08/01/2025",'Dogs - 2025'!$E:$E,"&lt;=8/31/2025",'Dogs - 2025'!$J:$J,"Transferred")</f>
        <v>6</v>
      </c>
      <c r="D26">
        <f>COUNTIFS('Dogs - 2025'!$D:$D,"Adult",'Dogs - 2025'!$E:$E,"&gt;=08/01/2025",'Dogs - 2025'!$E:$E,"&lt;=8/31/2025",'Dogs - 2025'!$J:$J,"Transferred")</f>
        <v>14</v>
      </c>
      <c r="E26">
        <f>COUNTIFS('Dogs - 2025'!$D:$D,"Senior",'Dogs - 2025'!$E:$E,"&gt;=08/01/2025",'Dogs - 2025'!$E:$E,"&lt;=8/31/2025",'Dogs - 2025'!$J:$J,"Transferred")</f>
        <v>0</v>
      </c>
      <c r="F26" s="9">
        <f t="shared" si="5"/>
        <v>28</v>
      </c>
      <c r="H26" t="s">
        <v>343</v>
      </c>
      <c r="I26">
        <f>COUNTIFS('Dogs - 2025'!$D:$D,"0-6 months",'Dogs - 2025'!$E:$E,"&gt;=08/01/2025",'Dogs - 2025'!$E:$E,"&lt;=8/31/2025",'Dogs - 2025'!$J:$J,"Adopted")</f>
        <v>2</v>
      </c>
      <c r="J26">
        <f>COUNTIFS('Dogs - 2025'!$D:$D,"6-12 months",'Dogs - 2025'!$E:$E,"&gt;=08/01/2025",'Dogs - 2025'!$E:$E,"&lt;=8/31/2025",'Dogs - 2025'!$J:$J,"Adopted")</f>
        <v>3</v>
      </c>
      <c r="K26">
        <f>COUNTIFS('Dogs - 2025'!$D:$D,"Adult",'Dogs - 2025'!$E:$E,"&gt;=08/01/2025",'Dogs - 2025'!$E:$E,"&lt;=8/31/2025",'Dogs - 2025'!$J:$J,"Adopted")</f>
        <v>7</v>
      </c>
      <c r="L26">
        <f>COUNTIFS('Dogs - 2025'!$D:$D,"Senior",'Dogs - 2025'!$E:$E,"&gt;=08/01/2025",'Dogs - 2025'!$E:$E,"&lt;=8/31/2025",'Dogs - 2025'!$J:$J,"Adopted")</f>
        <v>0</v>
      </c>
      <c r="M26" s="9">
        <f t="shared" si="6"/>
        <v>12</v>
      </c>
      <c r="P26" s="12"/>
      <c r="Q26" s="12">
        <f>SUM(Q19:Q25)</f>
        <v>577</v>
      </c>
    </row>
    <row r="27" spans="1:17" x14ac:dyDescent="0.2">
      <c r="A27" t="s">
        <v>344</v>
      </c>
      <c r="B27">
        <f>COUNTIFS('Dogs - 2025'!$D:$D,"0-6 months",'Dogs - 2025'!$E:$E,"&gt;=09/01/2025",'Dogs - 2025'!$E:$E,"&lt;=9/30/2025",'Dogs - 2025'!$J:$J,"Transferred")</f>
        <v>0</v>
      </c>
      <c r="C27">
        <f>COUNTIFS('Dogs - 2025'!$D:$D,"6-12 months",'Dogs - 2025'!$E:$E,"&gt;=09/01/2025",'Dogs - 2025'!$E:$E,"&lt;=9/30/2025",'Dogs - 2025'!$J:$J,"Transferred")</f>
        <v>0</v>
      </c>
      <c r="D27">
        <f>COUNTIFS('Dogs - 2025'!$D:$D,"Adult",'Dogs - 2025'!$E:$E,"&gt;=09/01/2025",'Dogs - 2025'!$E:$E,"&lt;=9/30/2025",'Dogs - 2025'!$J:$J,"Transferred")</f>
        <v>0</v>
      </c>
      <c r="E27">
        <f>COUNTIFS('Dogs - 2025'!$D:$D,"Senior",'Dogs - 2025'!$E:$E,"&gt;=09/01/2025",'Dogs - 2025'!$E:$E,"&lt;=9/30/2025",'Dogs - 2025'!$J:$J,"Transferred")</f>
        <v>0</v>
      </c>
      <c r="F27" s="9">
        <f t="shared" si="5"/>
        <v>0</v>
      </c>
      <c r="H27" t="s">
        <v>344</v>
      </c>
      <c r="I27">
        <f>COUNTIFS('Dogs - 2025'!$D:$D,"0-6 months",'Dogs - 2025'!$E:$E,"&gt;=09/01/2025",'Dogs - 2025'!$E:$E,"&lt;=9/30/2025",'Dogs - 2025'!$J:$J,"Adopted")</f>
        <v>0</v>
      </c>
      <c r="J27">
        <f>COUNTIFS('Dogs - 2025'!$D:$D,"6-12 months",'Dogs - 2025'!$E:$E,"&gt;=09/01/2025",'Dogs - 2025'!$E:$E,"&lt;=9/30/2025",'Dogs - 2025'!$J:$J,"Adopted")</f>
        <v>0</v>
      </c>
      <c r="K27">
        <f>COUNTIFS('Dogs - 2025'!$D:$D,"Adult",'Dogs - 2025'!$E:$E,"&gt;=09/01/2025",'Dogs - 2025'!$E:$E,"&lt;=9/30/2025",'Dogs - 2025'!$J:$J,"Adopted")</f>
        <v>0</v>
      </c>
      <c r="L27">
        <f>COUNTIFS('Dogs - 2025'!$D:$D,"Senior",'Dogs - 2025'!$E:$E,"&gt;=09/01/2025",'Dogs - 2025'!$E:$E,"&lt;=9/30/2025",'Dogs - 2025'!$J:$J,"Adopted")</f>
        <v>0</v>
      </c>
      <c r="M27" s="9">
        <f t="shared" si="6"/>
        <v>0</v>
      </c>
    </row>
    <row r="28" spans="1:17" x14ac:dyDescent="0.2">
      <c r="A28" t="s">
        <v>345</v>
      </c>
      <c r="B28">
        <f>COUNTIFS('Dogs - 2025'!$D:$D,"0-6 months",'Dogs - 2025'!$E:$E,"&gt;=10/01/2025",'Dogs - 2025'!$E:$E,"&lt;=10/31/2025",'Dogs - 2025'!$J:$J,"Transferred")</f>
        <v>0</v>
      </c>
      <c r="C28">
        <f>COUNTIFS('Dogs - 2025'!$D:$D,"6-12 months",'Dogs - 2025'!$E:$E,"&gt;=10/01/2025",'Dogs - 2025'!$E:$E,"&lt;=10/31/2025",'Dogs - 2025'!$J:$J,"Transferred")</f>
        <v>0</v>
      </c>
      <c r="D28">
        <f>COUNTIFS('Dogs - 2025'!$D:$D,"Adult",'Dogs - 2025'!$E:$E,"&gt;=10/01/2025",'Dogs - 2025'!$E:$E,"&lt;=10/31/2025",'Dogs - 2025'!$J:$J,"Transferred")</f>
        <v>0</v>
      </c>
      <c r="E28">
        <f>COUNTIFS('Dogs - 2025'!$D:$D,"Senior",'Dogs - 2025'!$E:$E,"&gt;=10/01/2025",'Dogs - 2025'!$E:$E,"&lt;=10/31/2025",'Dogs - 2025'!$J:$J,"Transferred")</f>
        <v>0</v>
      </c>
      <c r="F28" s="9">
        <f t="shared" si="5"/>
        <v>0</v>
      </c>
      <c r="H28" t="s">
        <v>345</v>
      </c>
      <c r="I28">
        <f>COUNTIFS('Dogs - 2025'!$D:$D,"0-6 months",'Dogs - 2025'!$E:$E,"&gt;=10/01/2025",'Dogs - 2025'!$E:$E,"&lt;=10/31/2025",'Dogs - 2025'!$J:$J,"Adopted")</f>
        <v>0</v>
      </c>
      <c r="J28">
        <f>COUNTIFS('Dogs - 2025'!$D:$D,"6-12 months",'Dogs - 2025'!$E:$E,"&gt;=10/01/2025",'Dogs - 2025'!$E:$E,"&lt;=10/31/2025",'Dogs - 2025'!$J:$J,"Adopted")</f>
        <v>0</v>
      </c>
      <c r="K28">
        <f>COUNTIFS('Dogs - 2025'!$D:$D,"Adult",'Dogs - 2025'!$E:$E,"&gt;=10/01/2025",'Dogs - 2025'!$E:$E,"&lt;=10/31/2025",'Dogs - 2025'!$J:$J,"Adopted")</f>
        <v>0</v>
      </c>
      <c r="L28">
        <f>COUNTIFS('Dogs - 2025'!$D:$D,"Senior",'Dogs - 2025'!$E:$E,"&gt;=10/01/2025",'Dogs - 2025'!$E:$E,"&lt;=10/31/2025",'Dogs - 2025'!$J:$J,"Adopted")</f>
        <v>0</v>
      </c>
      <c r="M28" s="9">
        <f t="shared" si="6"/>
        <v>0</v>
      </c>
    </row>
    <row r="29" spans="1:17" x14ac:dyDescent="0.2">
      <c r="A29" t="s">
        <v>346</v>
      </c>
      <c r="B29">
        <f>COUNTIFS('Dogs - 2025'!$D:$D,"0-6 months",'Dogs - 2025'!$E:$E,"&gt;=11/01/2025",'Dogs - 2025'!$E:$E,"&lt;=11/30/2025",'Dogs - 2025'!$J:$J,"Transferred")</f>
        <v>0</v>
      </c>
      <c r="C29">
        <f>COUNTIFS('Dogs - 2025'!$D:$D,"6-12 months",'Dogs - 2025'!$E:$E,"&gt;=11/01/2025",'Dogs - 2025'!$E:$E,"&lt;=11/30/2025",'Dogs - 2025'!$J:$J,"Transferred")</f>
        <v>0</v>
      </c>
      <c r="D29">
        <f>COUNTIFS('Dogs - 2025'!$D:$D,"Adult",'Dogs - 2025'!$E:$E,"&gt;=11/01/2025",'Dogs - 2025'!$E:$E,"&lt;=11/30/2025",'Dogs - 2025'!$J:$J,"Transferred")</f>
        <v>0</v>
      </c>
      <c r="E29">
        <f>COUNTIFS('Dogs - 2025'!$D:$D,"Senior",'Dogs - 2025'!$E:$E,"&gt;=11/01/2025",'Dogs - 2025'!$E:$E,"&lt;=11/30/2025",'Dogs - 2025'!$J:$J,"Transferred")</f>
        <v>0</v>
      </c>
      <c r="F29" s="9">
        <f t="shared" si="5"/>
        <v>0</v>
      </c>
      <c r="H29" t="s">
        <v>346</v>
      </c>
      <c r="I29">
        <f>COUNTIFS('Dogs - 2025'!$D:$D,"0-6 months",'Dogs - 2025'!$E:$E,"&gt;=11/01/2025",'Dogs - 2025'!$E:$E,"&lt;=11/30/2025",'Dogs - 2025'!$J:$J,"Adopted")</f>
        <v>0</v>
      </c>
      <c r="J29">
        <f>COUNTIFS('Dogs - 2025'!$D:$D,"6-12 months",'Dogs - 2025'!$E:$E,"&gt;=11/01/2025",'Dogs - 2025'!$E:$E,"&lt;=11/30/2025",'Dogs - 2025'!$J:$J,"Adopted")</f>
        <v>0</v>
      </c>
      <c r="K29">
        <f>COUNTIFS('Dogs - 2025'!$D:$D,"Adult",'Dogs - 2025'!$E:$E,"&gt;=11/01/2025",'Dogs - 2025'!$E:$E,"&lt;=11/30/2025",'Dogs - 2025'!$J:$J,"Adopted")</f>
        <v>0</v>
      </c>
      <c r="L29">
        <f>COUNTIFS('Dogs - 2025'!$D:$D,"Senior",'Dogs - 2025'!$E:$E,"&gt;=11/01/2025",'Dogs - 2025'!$E:$E,"&lt;=11/30/2025",'Dogs - 2025'!$J:$J,"Adopted")</f>
        <v>0</v>
      </c>
      <c r="M29" s="9">
        <f t="shared" si="6"/>
        <v>0</v>
      </c>
    </row>
    <row r="30" spans="1:17" x14ac:dyDescent="0.2">
      <c r="A30" t="s">
        <v>347</v>
      </c>
      <c r="B30">
        <f>COUNTIFS('Dogs - 2025'!$D:$D,"0-6 months",'Dogs - 2025'!$E:$E,"&gt;=12/01/2025",'Dogs - 2025'!$E:$E,"&lt;=12/31/2025",'Dogs - 2025'!$J:$J,"Transferred")</f>
        <v>0</v>
      </c>
      <c r="C30">
        <f>COUNTIFS('Dogs - 2025'!$D:$D,"6-12 months",'Dogs - 2025'!$E:$E,"&gt;=12/01/2025",'Dogs - 2025'!$E:$E,"&lt;=12/31/2025",'Dogs - 2025'!$J:$J,"Transferred")</f>
        <v>0</v>
      </c>
      <c r="D30">
        <f>COUNTIFS('Dogs - 2025'!$D:$D,"Adult",'Dogs - 2025'!$E:$E,"&gt;=12/01/2025",'Dogs - 2025'!$E:$E,"&lt;=12/31/2025",'Dogs - 2025'!$J:$J,"Transferred")</f>
        <v>0</v>
      </c>
      <c r="E30">
        <f>COUNTIFS('Dogs - 2025'!$D:$D,"Senior",'Dogs - 2025'!$E:$E,"&gt;=12/01/2025",'Dogs - 2025'!$E:$E,"&lt;=12/31/2025",'Dogs - 2025'!$J:$J,"Transferred")</f>
        <v>0</v>
      </c>
      <c r="F30" s="9">
        <f t="shared" si="5"/>
        <v>0</v>
      </c>
      <c r="H30" t="s">
        <v>347</v>
      </c>
      <c r="I30">
        <f>COUNTIFS('Dogs - 2025'!$D:$D,"0-6 months",'Dogs - 2025'!$E:$E,"&gt;=12/01/2025",'Dogs - 2025'!$E:$E,"&lt;=12/31/2025",'Dogs - 2025'!$J:$J,"Adopted")</f>
        <v>0</v>
      </c>
      <c r="J30">
        <f>COUNTIFS('Dogs - 2025'!$D:$D,"6-12 months",'Dogs - 2025'!$E:$E,"&gt;=12/01/2025",'Dogs - 2025'!$E:$E,"&lt;=12/31/2025",'Dogs - 2025'!$J:$J,"Adopted")</f>
        <v>0</v>
      </c>
      <c r="K30">
        <f>COUNTIFS('Dogs - 2025'!$D:$D,"Adult",'Dogs - 2025'!$E:$E,"&gt;=12/01/2025",'Dogs - 2025'!$E:$E,"&lt;=12/31/2025",'Dogs - 2025'!$J:$J,"Adopted")</f>
        <v>0</v>
      </c>
      <c r="L30">
        <f>COUNTIFS('Dogs - 2025'!$D:$D,"Senior",'Dogs - 2025'!$E:$E,"&gt;=12/01/2025",'Dogs - 2025'!$E:$E,"&lt;=12/31/2025",'Dogs - 2025'!$J:$J,"Adopted")</f>
        <v>0</v>
      </c>
      <c r="M30" s="9">
        <f t="shared" si="6"/>
        <v>0</v>
      </c>
    </row>
    <row r="31" spans="1:17" x14ac:dyDescent="0.2">
      <c r="A31" s="12"/>
      <c r="B31" s="12">
        <f>SUM(B19:B30)</f>
        <v>36</v>
      </c>
      <c r="C31" s="12">
        <f>SUM(C19:C30)</f>
        <v>14</v>
      </c>
      <c r="D31" s="12">
        <f>SUM(D19:D30)</f>
        <v>60</v>
      </c>
      <c r="E31" s="12">
        <f>SUM(E19:E30)</f>
        <v>0</v>
      </c>
      <c r="F31" s="12">
        <f>SUM(F19:F30)</f>
        <v>110</v>
      </c>
      <c r="H31" s="12"/>
      <c r="I31" s="12">
        <f>SUM(I19:I30)</f>
        <v>56</v>
      </c>
      <c r="J31" s="12">
        <f>SUM(J19:J30)</f>
        <v>16</v>
      </c>
      <c r="K31" s="12">
        <f>SUM(K19:K30)</f>
        <v>51</v>
      </c>
      <c r="L31" s="12">
        <f>SUM(L19:L30)</f>
        <v>0</v>
      </c>
      <c r="M31" s="12">
        <f>SUM(M19:M30)</f>
        <v>123</v>
      </c>
    </row>
    <row r="33" spans="1:13" ht="24" x14ac:dyDescent="0.2">
      <c r="A33" s="40" t="s">
        <v>583</v>
      </c>
      <c r="B33" s="40"/>
      <c r="C33" s="40"/>
      <c r="D33" s="40"/>
      <c r="E33" s="40"/>
      <c r="F33" s="16">
        <f>F47/$F$15</f>
        <v>9.1556459816887082E-3</v>
      </c>
      <c r="H33" s="40" t="s">
        <v>21</v>
      </c>
      <c r="I33" s="40"/>
      <c r="J33" s="40"/>
      <c r="K33" s="40"/>
      <c r="L33" s="40"/>
      <c r="M33" s="16">
        <f>M47/$F$15</f>
        <v>1.5259409969481181E-2</v>
      </c>
    </row>
    <row r="34" spans="1:13" x14ac:dyDescent="0.2">
      <c r="A34" s="8"/>
      <c r="B34" s="13" t="s">
        <v>208</v>
      </c>
      <c r="C34" s="13" t="s">
        <v>209</v>
      </c>
      <c r="D34" s="13" t="s">
        <v>207</v>
      </c>
      <c r="E34" s="13" t="s">
        <v>210</v>
      </c>
      <c r="F34" s="14" t="s">
        <v>201</v>
      </c>
      <c r="H34" s="8"/>
      <c r="I34" s="13" t="s">
        <v>208</v>
      </c>
      <c r="J34" s="13" t="s">
        <v>209</v>
      </c>
      <c r="K34" s="13" t="s">
        <v>207</v>
      </c>
      <c r="L34" s="13" t="s">
        <v>210</v>
      </c>
      <c r="M34" s="14" t="s">
        <v>201</v>
      </c>
    </row>
    <row r="35" spans="1:13" x14ac:dyDescent="0.2">
      <c r="A35" t="s">
        <v>336</v>
      </c>
      <c r="B35">
        <f>COUNTIFS('Dogs - 2025'!$D:$D,"0-6 months",'Dogs - 2025'!$E:$E,"&gt;=01/01/2025",'Dogs - 2025'!$E:$E,"&lt;=1/31/2025",'Dogs - 2025'!$J:$J,"DOA")</f>
        <v>1</v>
      </c>
      <c r="C35">
        <f>COUNTIFS('Dogs - 2025'!$D:$D,"6-12 months",'Dogs - 2025'!$E:$E,"&gt;=01/01/2025",'Dogs - 2025'!$E:$E,"&lt;=1/31/2025",'Dogs - 2025'!$J:$J,"DOA")</f>
        <v>0</v>
      </c>
      <c r="D35">
        <f>COUNTIFS('Dogs - 2025'!$D:$D,"Adult",'Dogs - 2025'!$E:$E,"&gt;=01/01/2025",'Dogs - 2025'!$E:$E,"&lt;=1/31/2025",'Dogs - 2025'!$J:$J,"DOA")</f>
        <v>2</v>
      </c>
      <c r="E35">
        <f>COUNTIFS('Dogs - 2025'!$D:$D,"Senior",'Dogs - 2025'!$E:$E,"&gt;=01/01/2025",'Dogs - 2025'!$E:$E,"&lt;=1/31/2025",'Dogs - 2025'!$J:$J,"DOA")</f>
        <v>0</v>
      </c>
      <c r="F35" s="9">
        <f>SUM(B35:E35)</f>
        <v>3</v>
      </c>
      <c r="H35" t="s">
        <v>336</v>
      </c>
      <c r="I35">
        <f>COUNTIFS('Dogs - 2025'!$D:$D,"0-6 months",'Dogs - 2025'!$E:$E,"&gt;=01/01/2025",'Dogs - 2025'!$E:$E,"&lt;=1/31/2025",'Dogs - 2025'!$J:$J,"Shelter")</f>
        <v>0</v>
      </c>
      <c r="J35">
        <f>COUNTIFS('Dogs - 2025'!$D:$D,"6-12 months",'Dogs - 2025'!$E:$E,"&gt;=01/01/2025",'Dogs - 2025'!$E:$E,"&lt;=1/31/2025",'Dogs - 2025'!$J:$J,"Shelter")</f>
        <v>0</v>
      </c>
      <c r="K35">
        <f>COUNTIFS('Dogs - 2025'!$D:$D,"Adult",'Dogs - 2025'!$E:$E,"&gt;=01/01/2025",'Dogs - 2025'!$E:$E,"&lt;=1/31/2025",'Dogs - 2025'!$J:$J,"Shelter")</f>
        <v>0</v>
      </c>
      <c r="L35">
        <f>COUNTIFS('Dogs - 2025'!$D:$D,"Senior",'Dogs - 2025'!$E:$E,"&gt;=01/01/2025",'Dogs - 2025'!$E:$E,"&lt;=1/31/2025",'Dogs - 2025'!$J:$J,"Shelter")</f>
        <v>0</v>
      </c>
      <c r="M35" s="9">
        <f>SUM(I35:L35)</f>
        <v>0</v>
      </c>
    </row>
    <row r="36" spans="1:13" x14ac:dyDescent="0.2">
      <c r="A36" t="s">
        <v>337</v>
      </c>
      <c r="B36">
        <f>COUNTIFS('Dogs - 2025'!$D:$D,"0-6 months",'Dogs - 2025'!$E:$E,"&gt;=02/01/2025",'Dogs - 2025'!$E:$E,"&lt;=2/28/2025",'Dogs - 2025'!$J:$J,"DOA")</f>
        <v>0</v>
      </c>
      <c r="C36">
        <f>COUNTIFS('Dogs - 2025'!$D:$D,"6-12 months",'Dogs - 2025'!$E:$E,"&gt;=02/01/2025",'Dogs - 2025'!$E:$E,"&lt;=2/28/2025",'Dogs - 2025'!$J:$J,"DOA")</f>
        <v>0</v>
      </c>
      <c r="D36">
        <f>COUNTIFS('Dogs - 2025'!$D:$D,"Adult",'Dogs - 2025'!$E:$E,"&gt;=02/01/2025",'Dogs - 2025'!$E:$E,"&lt;=2/28/2025",'Dogs - 2025'!$J:$J,"DOA")</f>
        <v>0</v>
      </c>
      <c r="E36">
        <f>COUNTIFS('Dogs - 2025'!$D:$D,"Senior",'Dogs - 2025'!$E:$E,"&gt;=02/01/2025",'Dogs - 2025'!$E:$E,"&lt;=2/28/2025",'Dogs - 2025'!$J:$J,"DOA")</f>
        <v>0</v>
      </c>
      <c r="F36" s="9">
        <f t="shared" ref="F36:F46" si="7">SUM(B36:E36)</f>
        <v>0</v>
      </c>
      <c r="H36" t="s">
        <v>337</v>
      </c>
      <c r="I36">
        <f>COUNTIFS('Dogs - 2025'!$D:$D,"0-6 months",'Dogs - 2025'!$E:$E,"&gt;=02/01/2025",'Dogs - 2025'!$E:$E,"&lt;=2/28/2025",'Dogs - 2025'!$J:$J,"Shelter")</f>
        <v>0</v>
      </c>
      <c r="J36">
        <f>COUNTIFS('Dogs - 2025'!$D:$D,"6-12 months",'Dogs - 2025'!$E:$E,"&gt;=02/01/2025",'Dogs - 2025'!$E:$E,"&lt;=2/28/2025",'Dogs - 2025'!$J:$J,"Shelter")</f>
        <v>0</v>
      </c>
      <c r="K36">
        <f>COUNTIFS('Dogs - 2025'!$D:$D,"Adult",'Dogs - 2025'!$E:$E,"&gt;=02/01/2025",'Dogs - 2025'!$E:$E,"&lt;=2/28/2025",'Dogs - 2025'!$J:$J,"Shelter")</f>
        <v>0</v>
      </c>
      <c r="L36">
        <f>COUNTIFS('Dogs - 2025'!$D:$D,"Senior",'Dogs - 2025'!$E:$E,"&gt;=02/01/2025",'Dogs - 2025'!$E:$E,"&lt;=2/28/2025",'Dogs - 2025'!$J:$J,"Shelter")</f>
        <v>0</v>
      </c>
      <c r="M36" s="9">
        <f t="shared" ref="M36:M46" si="8">SUM(I36:L36)</f>
        <v>0</v>
      </c>
    </row>
    <row r="37" spans="1:13" x14ac:dyDescent="0.2">
      <c r="A37" t="s">
        <v>338</v>
      </c>
      <c r="B37">
        <f>COUNTIFS('Dogs - 2025'!$D:$D,"0-6 months",'Dogs - 2025'!$E:$E,"&gt;=03/01/2025",'Dogs - 2025'!$E:$E,"&lt;=3/31/2025",'Dogs - 2025'!$J:$J,"DOA")</f>
        <v>0</v>
      </c>
      <c r="C37">
        <f>COUNTIFS('Dogs - 2025'!$D:$D,"6-12 months",'Dogs - 2025'!$E:$E,"&gt;=03/01/2025",'Dogs - 2025'!$E:$E,"&lt;=3/31/2025",'Dogs - 2025'!$J:$J,"DOA")</f>
        <v>0</v>
      </c>
      <c r="D37">
        <f>COUNTIFS('Dogs - 2025'!$D:$D,"Adult",'Dogs - 2025'!$E:$E,"&gt;=03/01/2025",'Dogs - 2025'!$E:$E,"&lt;=3/31/2025",'Dogs - 2025'!$J:$J,"DOA")</f>
        <v>0</v>
      </c>
      <c r="E37">
        <f>COUNTIFS('Dogs - 2025'!$D:$D,"Senior",'Dogs - 2025'!$E:$E,"&gt;=03/01/2025",'Dogs - 2025'!$E:$E,"&lt;=3/31/2025",'Dogs - 2025'!$J:$J,"DOA")</f>
        <v>0</v>
      </c>
      <c r="F37" s="9">
        <f t="shared" si="7"/>
        <v>0</v>
      </c>
      <c r="H37" t="s">
        <v>338</v>
      </c>
      <c r="I37">
        <f>COUNTIFS('Dogs - 2025'!$D:$D,"0-6 months",'Dogs - 2025'!$E:$E,"&gt;=03/01/2025",'Dogs - 2025'!$E:$E,"&lt;=3/31/2025",'Dogs - 2025'!$J:$J,"Shelter")</f>
        <v>0</v>
      </c>
      <c r="J37">
        <f>COUNTIFS('Dogs - 2025'!$D:$D,"6-12 months",'Dogs - 2025'!$E:$E,"&gt;=03/01/2025",'Dogs - 2025'!$E:$E,"&lt;=3/31/2025",'Dogs - 2025'!$J:$J,"Shelter")</f>
        <v>0</v>
      </c>
      <c r="K37">
        <f>COUNTIFS('Dogs - 2025'!$D:$D,"Adult",'Dogs - 2025'!$E:$E,"&gt;=03/01/2025",'Dogs - 2025'!$E:$E,"&lt;=3/31/2025",'Dogs - 2025'!$J:$J,"Shelter")</f>
        <v>1</v>
      </c>
      <c r="L37">
        <f>COUNTIFS('Dogs - 2025'!$D:$D,"Senior",'Dogs - 2025'!$E:$E,"&gt;=03/01/2025",'Dogs - 2025'!$E:$E,"&lt;=3/31/2025",'Dogs - 2025'!$J:$J,"Shelter")</f>
        <v>1</v>
      </c>
      <c r="M37" s="9">
        <f t="shared" si="8"/>
        <v>2</v>
      </c>
    </row>
    <row r="38" spans="1:13" x14ac:dyDescent="0.2">
      <c r="A38" t="s">
        <v>339</v>
      </c>
      <c r="B38">
        <f>COUNTIFS('Dogs - 2025'!$D:$D,"0-6 months",'Dogs - 2025'!$E:$E,"&gt;=04/01/2025",'Dogs - 2025'!$E:$E,"&lt;=4/30/2025",'Dogs - 2025'!$J:$J,"DOA")</f>
        <v>1</v>
      </c>
      <c r="C38">
        <f>COUNTIFS('Dogs - 2025'!$D:$D,"6-12 months",'Dogs - 2025'!$E:$E,"&gt;=04/01/2025",'Dogs - 2025'!$E:$E,"&lt;=4/30/2025",'Dogs - 2025'!$J:$J,"DOA")</f>
        <v>0</v>
      </c>
      <c r="D38">
        <f>COUNTIFS('Dogs - 2025'!$D:$D,"Adult",'Dogs - 2025'!$E:$E,"&gt;=04/01/2025",'Dogs - 2025'!$E:$E,"&lt;=4/30/2025",'Dogs - 2025'!$J:$J,"DOA")</f>
        <v>0</v>
      </c>
      <c r="E38">
        <f>COUNTIFS('Dogs - 2025'!$D:$D,"Senior",'Dogs - 2025'!$E:$E,"&gt;=04/01/2025",'Dogs - 2025'!$E:$E,"&lt;=4/30/2025",'Dogs - 2025'!$J:$J,"DOA")</f>
        <v>0</v>
      </c>
      <c r="F38" s="9">
        <f t="shared" si="7"/>
        <v>1</v>
      </c>
      <c r="H38" t="s">
        <v>339</v>
      </c>
      <c r="I38">
        <f>COUNTIFS('Dogs - 2025'!$D:$D,"0-6 months",'Dogs - 2025'!$E:$E,"&gt;=04/01/2025",'Dogs - 2025'!$E:$E,"&lt;=4/30/2025",'Dogs - 2025'!$J:$J,"Shelter")</f>
        <v>1</v>
      </c>
      <c r="J38">
        <f>COUNTIFS('Dogs - 2025'!$D:$D,"6-12 months",'Dogs - 2025'!$E:$E,"&gt;=04/01/2025",'Dogs - 2025'!$E:$E,"&lt;=4/30/2025",'Dogs - 2025'!$J:$J,"Shelter")</f>
        <v>0</v>
      </c>
      <c r="K38">
        <f>COUNTIFS('Dogs - 2025'!$D:$D,"Adult",'Dogs - 2025'!$E:$E,"&gt;=04/01/2025",'Dogs - 2025'!$E:$E,"&lt;=4/30/2025",'Dogs - 2025'!$J:$J,"Shelter")</f>
        <v>2</v>
      </c>
      <c r="L38">
        <f>COUNTIFS('Dogs - 2025'!$D:$D,"Senior",'Dogs - 2025'!$E:$E,"&gt;=04/01/2025",'Dogs - 2025'!$E:$E,"&lt;=4/30/2025",'Dogs - 2025'!$J:$J,"Shelter")</f>
        <v>0</v>
      </c>
      <c r="M38" s="9">
        <f t="shared" si="8"/>
        <v>3</v>
      </c>
    </row>
    <row r="39" spans="1:13" x14ac:dyDescent="0.2">
      <c r="A39" t="s">
        <v>340</v>
      </c>
      <c r="B39">
        <f>COUNTIFS('Dogs - 2025'!$D:$D,"0-6 months",'Dogs - 2025'!$E:$E,"&gt;=05/01/2025",'Dogs - 2025'!$E:$E,"&lt;=5/31/2025",'Dogs - 2025'!$J:$J,"DOA")</f>
        <v>3</v>
      </c>
      <c r="C39">
        <f>COUNTIFS('Dogs - 2025'!$D:$D,"6-12 months",'Dogs - 2025'!$E:$E,"&gt;=05/01/2025",'Dogs - 2025'!$E:$E,"&lt;=5/31/2025",'Dogs - 2025'!$J:$J,"DOA")</f>
        <v>0</v>
      </c>
      <c r="D39">
        <f>COUNTIFS('Dogs - 2025'!$D:$D,"Adult",'Dogs - 2025'!$E:$E,"&gt;=05/01/2025",'Dogs - 2025'!$E:$E,"&lt;=5/31/2025",'Dogs - 2025'!$J:$J,"DOA")</f>
        <v>0</v>
      </c>
      <c r="E39">
        <f>COUNTIFS('Dogs - 2025'!$D:$D,"Senior",'Dogs - 2025'!$E:$E,"&gt;=05/01/2025",'Dogs - 2025'!$E:$E,"&lt;=5/31/2025",'Dogs - 2025'!$J:$J,"DOA")</f>
        <v>0</v>
      </c>
      <c r="F39" s="9">
        <f t="shared" si="7"/>
        <v>3</v>
      </c>
      <c r="H39" t="s">
        <v>340</v>
      </c>
      <c r="I39">
        <f>COUNTIFS('Dogs - 2025'!$D:$D,"0-6 months",'Dogs - 2025'!$E:$E,"&gt;=05/01/2025",'Dogs - 2025'!$E:$E,"&lt;=5/31/2025",'Dogs - 2025'!$J:$J,"Shelter")</f>
        <v>0</v>
      </c>
      <c r="J39">
        <f>COUNTIFS('Dogs - 2025'!$D:$D,"6-12 months",'Dogs - 2025'!$E:$E,"&gt;=05/01/2025",'Dogs - 2025'!$E:$E,"&lt;=5/31/2025",'Dogs - 2025'!$J:$J,"Shelter")</f>
        <v>0</v>
      </c>
      <c r="K39">
        <f>COUNTIFS('Dogs - 2025'!$D:$D,"Adult",'Dogs - 2025'!$E:$E,"&gt;=05/01/2025",'Dogs - 2025'!$E:$E,"&lt;=5/31/2025",'Dogs - 2025'!$J:$J,"Shelter")</f>
        <v>0</v>
      </c>
      <c r="L39">
        <f>COUNTIFS('Dogs - 2025'!$D:$D,"Senior",'Dogs - 2025'!$E:$E,"&gt;=05/01/2025",'Dogs - 2025'!$E:$E,"&lt;=5/31/2025",'Dogs - 2025'!$J:$J,"Shelter")</f>
        <v>0</v>
      </c>
      <c r="M39" s="9">
        <f t="shared" si="8"/>
        <v>0</v>
      </c>
    </row>
    <row r="40" spans="1:13" x14ac:dyDescent="0.2">
      <c r="A40" t="s">
        <v>341</v>
      </c>
      <c r="B40">
        <f>COUNTIFS('Dogs - 2025'!$D:$D,"0-6 months",'Dogs - 2025'!$E:$E,"&gt;=06/01/2025",'Dogs - 2025'!$E:$E,"&lt;=6/30/2025",'Dogs - 2025'!$J:$J,"DOA")</f>
        <v>0</v>
      </c>
      <c r="C40">
        <f>COUNTIFS('Dogs - 2025'!$D:$D,"6-12 months",'Dogs - 2025'!$E:$E,"&gt;=06/01/2025",'Dogs - 2025'!$E:$E,"&lt;=6/30/2025",'Dogs - 2025'!$J:$J,"DOA")</f>
        <v>0</v>
      </c>
      <c r="D40">
        <f>COUNTIFS('Dogs - 2025'!$D:$D,"Adult",'Dogs - 2025'!$E:$E,"&gt;=06/01/2025",'Dogs - 2025'!$E:$E,"&lt;=6/30/2025",'Dogs - 2025'!$J:$J,"DOA")</f>
        <v>0</v>
      </c>
      <c r="E40">
        <f>COUNTIFS('Dogs - 2025'!$D:$D,"Senior",'Dogs - 2025'!$E:$E,"&gt;=06/01/2025",'Dogs - 2025'!$E:$E,"&lt;=6/30/2025",'Dogs - 2025'!$J:$J,"DOA")</f>
        <v>0</v>
      </c>
      <c r="F40" s="9">
        <f t="shared" si="7"/>
        <v>0</v>
      </c>
      <c r="H40" t="s">
        <v>341</v>
      </c>
      <c r="I40">
        <f>COUNTIFS('Dogs - 2025'!$D:$D,"0-6 months",'Dogs - 2025'!$E:$E,"&gt;=06/01/2025",'Dogs - 2025'!$E:$E,"&lt;=6/30/2025",'Dogs - 2025'!$J:$J,"Shelter")</f>
        <v>1</v>
      </c>
      <c r="J40">
        <f>COUNTIFS('Dogs - 2025'!$D:$D,"6-12 months",'Dogs - 2025'!$E:$E,"&gt;=06/01/2025",'Dogs - 2025'!$E:$E,"&lt;=6/30/2025",'Dogs - 2025'!$J:$J,"Shelter")</f>
        <v>0</v>
      </c>
      <c r="K40">
        <f>COUNTIFS('Dogs - 2025'!$D:$D,"Adult",'Dogs - 2025'!$E:$E,"&gt;=06/01/2025",'Dogs - 2025'!$E:$E,"&lt;=6/30/2025",'Dogs - 2025'!$J:$J,"Shelter")</f>
        <v>1</v>
      </c>
      <c r="L40">
        <f>COUNTIFS('Dogs - 2025'!$D:$D,"Senior",'Dogs - 2025'!$E:$E,"&gt;=06/01/2025",'Dogs - 2025'!$E:$E,"&lt;=6/30/2025",'Dogs - 2025'!$J:$J,"Shelter")</f>
        <v>0</v>
      </c>
      <c r="M40" s="9">
        <f t="shared" si="8"/>
        <v>2</v>
      </c>
    </row>
    <row r="41" spans="1:13" x14ac:dyDescent="0.2">
      <c r="A41" t="s">
        <v>342</v>
      </c>
      <c r="B41">
        <f>COUNTIFS('Dogs - 2025'!$D:$D,"0-6 months",'Dogs - 2025'!$E:$E,"&gt;=07/01/2025",'Dogs - 2025'!$E:$E,"&lt;=7/31/2025",'Dogs - 2025'!$J:$J,"DOA")</f>
        <v>1</v>
      </c>
      <c r="C41">
        <f>COUNTIFS('Dogs - 2025'!$D:$D,"6-12 months",'Dogs - 2025'!$E:$E,"&gt;=07/01/2025",'Dogs - 2025'!$E:$E,"&lt;=7/31/2025",'Dogs - 2025'!$J:$J,"DOA")</f>
        <v>0</v>
      </c>
      <c r="D41">
        <f>COUNTIFS('Dogs - 2025'!$D:$D,"Adult",'Dogs - 2025'!$E:$E,"&gt;=07/01/2025",'Dogs - 2025'!$E:$E,"&lt;=7/31/2025",'Dogs - 2025'!$J:$J,"DOA")</f>
        <v>0</v>
      </c>
      <c r="E41">
        <f>COUNTIFS('Dogs - 2025'!$D:$D,"Senior",'Dogs - 2025'!$E:$E,"&gt;=07/01/2025",'Dogs - 2025'!$E:$E,"&lt;=7/31/2025",'Dogs - 2025'!$J:$J,"DOA")</f>
        <v>0</v>
      </c>
      <c r="F41" s="9">
        <f t="shared" si="7"/>
        <v>1</v>
      </c>
      <c r="H41" t="s">
        <v>342</v>
      </c>
      <c r="I41">
        <f>COUNTIFS('Dogs - 2025'!$D:$D,"0-6 months",'Dogs - 2025'!$E:$E,"&gt;=07/01/2025",'Dogs - 2025'!$E:$E,"&lt;=7/31/2025",'Dogs - 2025'!$J:$J,"Shelter")</f>
        <v>4</v>
      </c>
      <c r="J41">
        <f>COUNTIFS('Dogs - 2025'!$D:$D,"6-12 months",'Dogs - 2025'!$E:$E,"&gt;=07/01/2025",'Dogs - 2025'!$E:$E,"&lt;=7/31/2025",'Dogs - 2025'!$J:$J,"Shelter")</f>
        <v>0</v>
      </c>
      <c r="K41">
        <f>COUNTIFS('Dogs - 2025'!$D:$D,"Adult",'Dogs - 2025'!$E:$E,"&gt;=07/01/2025",'Dogs - 2025'!$E:$E,"&lt;=7/31/2025",'Dogs - 2025'!$J:$J,"Shelter")</f>
        <v>1</v>
      </c>
      <c r="L41">
        <f>COUNTIFS('Dogs - 2025'!$D:$D,"Senior",'Dogs - 2025'!$E:$E,"&gt;=07/01/2025",'Dogs - 2025'!$E:$E,"&lt;=7/31/2025",'Dogs - 2025'!$J:$J,"Shelter")</f>
        <v>0</v>
      </c>
      <c r="M41" s="9">
        <f t="shared" si="8"/>
        <v>5</v>
      </c>
    </row>
    <row r="42" spans="1:13" x14ac:dyDescent="0.2">
      <c r="A42" t="s">
        <v>343</v>
      </c>
      <c r="B42">
        <f>COUNTIFS('Dogs - 2025'!$D:$D,"0-6 months",'Dogs - 2025'!$E:$E,"&gt;=08/01/2025",'Dogs - 2025'!$E:$E,"&lt;=8/31/2025",'Dogs - 2025'!$J:$J,"DOA")</f>
        <v>1</v>
      </c>
      <c r="C42">
        <f>COUNTIFS('Dogs - 2025'!$D:$D,"6-12 months",'Dogs - 2025'!$E:$E,"&gt;=08/01/2025",'Dogs - 2025'!$E:$E,"&lt;=8/31/2025",'Dogs - 2025'!$J:$J,"DOA")</f>
        <v>0</v>
      </c>
      <c r="D42">
        <f>COUNTIFS('Dogs - 2025'!$D:$D,"Adult",'Dogs - 2025'!$E:$E,"&gt;=08/01/2025",'Dogs - 2025'!$E:$E,"&lt;=8/31/2025",'Dogs - 2025'!$J:$J,"DOA")</f>
        <v>0</v>
      </c>
      <c r="E42">
        <f>COUNTIFS('Dogs - 2025'!$D:$D,"Senior",'Dogs - 2025'!$E:$E,"&gt;=08/01/2025",'Dogs - 2025'!$E:$E,"&lt;=8/31/2025",'Dogs - 2025'!$J:$J,"DOA")</f>
        <v>0</v>
      </c>
      <c r="F42" s="9">
        <f t="shared" si="7"/>
        <v>1</v>
      </c>
      <c r="H42" t="s">
        <v>343</v>
      </c>
      <c r="I42">
        <f>COUNTIFS('Dogs - 2025'!$D:$D,"0-6 months",'Dogs - 2025'!$E:$E,"&gt;=08/01/2025",'Dogs - 2025'!$E:$E,"&lt;=8/31/2025",'Dogs - 2025'!$J:$J,"Shelter")</f>
        <v>1</v>
      </c>
      <c r="J42">
        <f>COUNTIFS('Dogs - 2025'!$D:$D,"6-12 months",'Dogs - 2025'!$E:$E,"&gt;=08/01/2025",'Dogs - 2025'!$E:$E,"&lt;=8/31/2025",'Dogs - 2025'!$J:$J,"Shelter")</f>
        <v>0</v>
      </c>
      <c r="K42">
        <f>COUNTIFS('Dogs - 2025'!$D:$D,"Adult",'Dogs - 2025'!$E:$E,"&gt;=08/01/2025",'Dogs - 2025'!$E:$E,"&lt;=8/31/2025",'Dogs - 2025'!$J:$J,"Shelter")</f>
        <v>2</v>
      </c>
      <c r="L42">
        <f>COUNTIFS('Dogs - 2025'!$D:$D,"Senior",'Dogs - 2025'!$E:$E,"&gt;=08/01/2025",'Dogs - 2025'!$E:$E,"&lt;=8/31/2025",'Dogs - 2025'!$J:$J,"Shelter")</f>
        <v>0</v>
      </c>
      <c r="M42" s="9">
        <f t="shared" si="8"/>
        <v>3</v>
      </c>
    </row>
    <row r="43" spans="1:13" x14ac:dyDescent="0.2">
      <c r="A43" t="s">
        <v>344</v>
      </c>
      <c r="B43">
        <f>COUNTIFS('Dogs - 2025'!$D:$D,"0-6 months",'Dogs - 2025'!$E:$E,"&gt;=09/01/2025",'Dogs - 2025'!$E:$E,"&lt;=9/30/2025",'Dogs - 2025'!$J:$J,"DOA")</f>
        <v>0</v>
      </c>
      <c r="C43">
        <f>COUNTIFS('Dogs - 2025'!$D:$D,"6-12 months",'Dogs - 2025'!$E:$E,"&gt;=09/01/2025",'Dogs - 2025'!$E:$E,"&lt;=9/30/2025",'Dogs - 2025'!$J:$J,"DOA")</f>
        <v>0</v>
      </c>
      <c r="D43">
        <f>COUNTIFS('Dogs - 2025'!$D:$D,"Adult",'Dogs - 2025'!$E:$E,"&gt;=09/01/2025",'Dogs - 2025'!$E:$E,"&lt;=9/30/2025",'Dogs - 2025'!$J:$J,"DOA")</f>
        <v>0</v>
      </c>
      <c r="E43">
        <f>COUNTIFS('Dogs - 2025'!$D:$D,"Senior",'Dogs - 2025'!$E:$E,"&gt;=09/01/2025",'Dogs - 2025'!$E:$E,"&lt;=9/30/2025",'Dogs - 2025'!$J:$J,"DOA")</f>
        <v>0</v>
      </c>
      <c r="F43" s="9">
        <f t="shared" si="7"/>
        <v>0</v>
      </c>
      <c r="H43" t="s">
        <v>344</v>
      </c>
      <c r="I43">
        <f>COUNTIFS('Dogs - 2025'!$D:$D,"0-6 months",'Dogs - 2025'!$E:$E,"&gt;=09/01/2025",'Dogs - 2025'!$E:$E,"&lt;=9/30/2025",'Dogs - 2025'!$J:$J,"Shelter")</f>
        <v>0</v>
      </c>
      <c r="J43">
        <f>COUNTIFS('Dogs - 2025'!$D:$D,"6-12 months",'Dogs - 2025'!$E:$E,"&gt;=09/01/2025",'Dogs - 2025'!$E:$E,"&lt;=9/30/2025",'Dogs - 2025'!$J:$J,"Shelter")</f>
        <v>0</v>
      </c>
      <c r="K43">
        <f>COUNTIFS('Dogs - 2025'!$D:$D,"Adult",'Dogs - 2025'!$E:$E,"&gt;=09/01/2025",'Dogs - 2025'!$E:$E,"&lt;=9/30/2025",'Dogs - 2025'!$J:$J,"Shelter")</f>
        <v>0</v>
      </c>
      <c r="L43">
        <f>COUNTIFS('Dogs - 2025'!$D:$D,"Senior",'Dogs - 2025'!$E:$E,"&gt;=09/01/2025",'Dogs - 2025'!$E:$E,"&lt;=9/30/2025",'Dogs - 2025'!$J:$J,"Shelter")</f>
        <v>0</v>
      </c>
      <c r="M43" s="9">
        <f t="shared" si="8"/>
        <v>0</v>
      </c>
    </row>
    <row r="44" spans="1:13" x14ac:dyDescent="0.2">
      <c r="A44" t="s">
        <v>345</v>
      </c>
      <c r="B44">
        <f>COUNTIFS('Dogs - 2025'!$D:$D,"0-6 months",'Dogs - 2025'!$E:$E,"&gt;=10/01/2025",'Dogs - 2025'!$E:$E,"&lt;=10/31/2025",'Dogs - 2025'!$J:$J,"DOA")</f>
        <v>0</v>
      </c>
      <c r="C44">
        <f>COUNTIFS('Dogs - 2025'!$D:$D,"6-12 months",'Dogs - 2025'!$E:$E,"&gt;=10/01/2025",'Dogs - 2025'!$E:$E,"&lt;=10/31/2025",'Dogs - 2025'!$J:$J,"DOA")</f>
        <v>0</v>
      </c>
      <c r="D44">
        <f>COUNTIFS('Dogs - 2025'!$D:$D,"Adult",'Dogs - 2025'!$E:$E,"&gt;=10/01/2025",'Dogs - 2025'!$E:$E,"&lt;=10/31/2025",'Dogs - 2025'!$J:$J,"DOA")</f>
        <v>0</v>
      </c>
      <c r="E44">
        <f>COUNTIFS('Dogs - 2025'!$D:$D,"Senior",'Dogs - 2025'!$E:$E,"&gt;=10/01/2025",'Dogs - 2025'!$E:$E,"&lt;=10/31/2025",'Dogs - 2025'!$J:$J,"DOA")</f>
        <v>0</v>
      </c>
      <c r="F44" s="9">
        <f t="shared" si="7"/>
        <v>0</v>
      </c>
      <c r="H44" t="s">
        <v>345</v>
      </c>
      <c r="I44">
        <f>COUNTIFS('Dogs - 2025'!$D:$D,"0-6 months",'Dogs - 2025'!$E:$E,"&gt;=10/01/2025",'Dogs - 2025'!$E:$E,"&lt;=10/31/2025",'Dogs - 2025'!$J:$J,"Shelter")</f>
        <v>0</v>
      </c>
      <c r="J44">
        <f>COUNTIFS('Dogs - 2025'!$D:$D,"6-12 months",'Dogs - 2025'!$E:$E,"&gt;=10/01/2025",'Dogs - 2025'!$E:$E,"&lt;=10/31/2025",'Dogs - 2025'!$J:$J,"Shelter")</f>
        <v>0</v>
      </c>
      <c r="K44">
        <f>COUNTIFS('Dogs - 2025'!$D:$D,"Adult",'Dogs - 2025'!$E:$E,"&gt;=10/01/2025",'Dogs - 2025'!$E:$E,"&lt;=10/31/2025",'Dogs - 2025'!$J:$J,"Shelter")</f>
        <v>0</v>
      </c>
      <c r="L44">
        <f>COUNTIFS('Dogs - 2025'!$D:$D,"Senior",'Dogs - 2025'!$E:$E,"&gt;=10/01/2025",'Dogs - 2025'!$E:$E,"&lt;=10/31/2025",'Dogs - 2025'!$J:$J,"Shelter")</f>
        <v>0</v>
      </c>
      <c r="M44" s="9">
        <f t="shared" si="8"/>
        <v>0</v>
      </c>
    </row>
    <row r="45" spans="1:13" x14ac:dyDescent="0.2">
      <c r="A45" t="s">
        <v>346</v>
      </c>
      <c r="B45">
        <f>COUNTIFS('Dogs - 2025'!$D:$D,"0-6 months",'Dogs - 2025'!$E:$E,"&gt;=11/01/2025",'Dogs - 2025'!$E:$E,"&lt;=11/30/2025",'Dogs - 2025'!$J:$J,"DOA")</f>
        <v>0</v>
      </c>
      <c r="C45">
        <f>COUNTIFS('Dogs - 2025'!$D:$D,"6-12 months",'Dogs - 2025'!$E:$E,"&gt;=11/01/2025",'Dogs - 2025'!$E:$E,"&lt;=11/30/2025",'Dogs - 2025'!$J:$J,"DOA")</f>
        <v>0</v>
      </c>
      <c r="D45">
        <f>COUNTIFS('Dogs - 2025'!$D:$D,"Adult",'Dogs - 2025'!$E:$E,"&gt;=11/01/2025",'Dogs - 2025'!$E:$E,"&lt;=11/30/2025",'Dogs - 2025'!$J:$J,"DOA")</f>
        <v>0</v>
      </c>
      <c r="E45">
        <f>COUNTIFS('Dogs - 2025'!$D:$D,"Senior",'Dogs - 2025'!$E:$E,"&gt;=11/01/2025",'Dogs - 2025'!$E:$E,"&lt;=11/30/2025",'Dogs - 2025'!$J:$J,"DOA")</f>
        <v>0</v>
      </c>
      <c r="F45" s="9">
        <f t="shared" si="7"/>
        <v>0</v>
      </c>
      <c r="H45" t="s">
        <v>346</v>
      </c>
      <c r="I45">
        <f>COUNTIFS('Dogs - 2025'!$D:$D,"0-6 months",'Dogs - 2025'!$E:$E,"&gt;=11/01/2025",'Dogs - 2025'!$E:$E,"&lt;=11/30/2025",'Dogs - 2025'!$J:$J,"Shelter")</f>
        <v>0</v>
      </c>
      <c r="J45">
        <f>COUNTIFS('Dogs - 2025'!$D:$D,"6-12 months",'Dogs - 2025'!$E:$E,"&gt;=11/01/2025",'Dogs - 2025'!$E:$E,"&lt;=11/30/2025",'Dogs - 2025'!$J:$J,"Shelter")</f>
        <v>0</v>
      </c>
      <c r="K45">
        <f>COUNTIFS('Dogs - 2025'!$D:$D,"Adult",'Dogs - 2025'!$E:$E,"&gt;=11/01/2025",'Dogs - 2025'!$E:$E,"&lt;=11/30/2025",'Dogs - 2025'!$J:$J,"Shelter")</f>
        <v>0</v>
      </c>
      <c r="L45">
        <f>COUNTIFS('Dogs - 2025'!$D:$D,"Senior",'Dogs - 2025'!$E:$E,"&gt;=11/01/2025",'Dogs - 2025'!$E:$E,"&lt;=11/30/2025",'Dogs - 2025'!$J:$J,"Shelter")</f>
        <v>0</v>
      </c>
      <c r="M45" s="9">
        <f t="shared" si="8"/>
        <v>0</v>
      </c>
    </row>
    <row r="46" spans="1:13" x14ac:dyDescent="0.2">
      <c r="A46" t="s">
        <v>347</v>
      </c>
      <c r="B46">
        <f>COUNTIFS('Dogs - 2025'!$D:$D,"0-6 months",'Dogs - 2025'!$E:$E,"&gt;=12/01/2025",'Dogs - 2025'!$E:$E,"&lt;=12/31/2025",'Dogs - 2025'!$J:$J,"DOA")</f>
        <v>0</v>
      </c>
      <c r="C46">
        <f>COUNTIFS('Dogs - 2025'!$D:$D,"6-12 months",'Dogs - 2025'!$E:$E,"&gt;=12/01/2025",'Dogs - 2025'!$E:$E,"&lt;=12/31/2025",'Dogs - 2025'!$J:$J,"DOA")</f>
        <v>0</v>
      </c>
      <c r="D46">
        <f>COUNTIFS('Dogs - 2025'!$D:$D,"Adult",'Dogs - 2025'!$E:$E,"&gt;=12/01/2025",'Dogs - 2025'!$E:$E,"&lt;=12/31/2025",'Dogs - 2025'!$J:$J,"DOA")</f>
        <v>0</v>
      </c>
      <c r="E46">
        <f>COUNTIFS('Dogs - 2025'!$D:$D,"Senior",'Dogs - 2025'!$E:$E,"&gt;=12/01/2025",'Dogs - 2025'!$E:$E,"&lt;=12/31/2025",'Dogs - 2025'!$J:$J,"DOA")</f>
        <v>0</v>
      </c>
      <c r="F46" s="9">
        <f t="shared" si="7"/>
        <v>0</v>
      </c>
      <c r="H46" t="s">
        <v>347</v>
      </c>
      <c r="I46">
        <f>COUNTIFS('Dogs - 2025'!$D:$D,"0-6 months",'Dogs - 2025'!$E:$E,"&gt;=12/01/2025",'Dogs - 2025'!$E:$E,"&lt;=12/31/2025",'Dogs - 2025'!$J:$J,"Shelter")</f>
        <v>0</v>
      </c>
      <c r="J46">
        <f>COUNTIFS('Dogs - 2025'!$D:$D,"6-12 months",'Dogs - 2025'!$E:$E,"&gt;=12/01/2025",'Dogs - 2025'!$E:$E,"&lt;=12/31/2025",'Dogs - 2025'!$J:$J,"Shelter")</f>
        <v>0</v>
      </c>
      <c r="K46">
        <f>COUNTIFS('Dogs - 2025'!$D:$D,"Adult",'Dogs - 2025'!$E:$E,"&gt;=12/01/2025",'Dogs - 2025'!$E:$E,"&lt;=12/31/2025",'Dogs - 2025'!$J:$J,"Shelter")</f>
        <v>0</v>
      </c>
      <c r="L46">
        <f>COUNTIFS('Dogs - 2025'!$D:$D,"Senior",'Dogs - 2025'!$E:$E,"&gt;=12/01/2025",'Dogs - 2025'!$E:$E,"&lt;=12/31/2025",'Dogs - 2025'!$J:$J,"Shelter")</f>
        <v>0</v>
      </c>
      <c r="M46" s="9">
        <f t="shared" si="8"/>
        <v>0</v>
      </c>
    </row>
    <row r="47" spans="1:13" x14ac:dyDescent="0.2">
      <c r="A47" s="12"/>
      <c r="B47" s="12">
        <f>SUM(B35:B46)</f>
        <v>7</v>
      </c>
      <c r="C47" s="12">
        <f>SUM(C35:C46)</f>
        <v>0</v>
      </c>
      <c r="D47" s="12">
        <f>SUM(D35:D46)</f>
        <v>2</v>
      </c>
      <c r="E47" s="12">
        <f>SUM(E35:E46)</f>
        <v>0</v>
      </c>
      <c r="F47" s="12">
        <f>SUM(F35:F46)</f>
        <v>9</v>
      </c>
      <c r="H47" s="12"/>
      <c r="I47" s="12">
        <f>SUM(I35:I46)</f>
        <v>7</v>
      </c>
      <c r="J47" s="12">
        <f>SUM(J35:J46)</f>
        <v>0</v>
      </c>
      <c r="K47" s="12">
        <f>SUM(K35:K46)</f>
        <v>7</v>
      </c>
      <c r="L47" s="12">
        <f>SUM(L35:L46)</f>
        <v>1</v>
      </c>
      <c r="M47" s="12">
        <f>SUM(M35:M46)</f>
        <v>15</v>
      </c>
    </row>
    <row r="49" spans="1:6" ht="24" x14ac:dyDescent="0.2">
      <c r="A49" s="40" t="s">
        <v>582</v>
      </c>
      <c r="B49" s="40"/>
      <c r="C49" s="40"/>
      <c r="D49" s="40"/>
      <c r="E49" s="40"/>
      <c r="F49" s="16">
        <f>F63/$F$15</f>
        <v>0.15055951169888099</v>
      </c>
    </row>
    <row r="50" spans="1:6" x14ac:dyDescent="0.2">
      <c r="A50" s="8"/>
      <c r="B50" s="13" t="s">
        <v>208</v>
      </c>
      <c r="C50" s="13" t="s">
        <v>209</v>
      </c>
      <c r="D50" s="13" t="s">
        <v>207</v>
      </c>
      <c r="E50" s="13" t="s">
        <v>210</v>
      </c>
      <c r="F50" s="14" t="s">
        <v>201</v>
      </c>
    </row>
    <row r="51" spans="1:6" x14ac:dyDescent="0.2">
      <c r="A51" t="s">
        <v>336</v>
      </c>
      <c r="B51">
        <f>COUNTIFS('Dogs - 2025'!$D:$D,"0-6 months",'Dogs - 2025'!$E:$E,"&gt;=01/01/2025",'Dogs - 2025'!$E:$E,"&lt;=1/31/2025",'Dogs - 2025'!$J:$J,"RTO")</f>
        <v>0</v>
      </c>
      <c r="C51">
        <f>COUNTIFS('Dogs - 2025'!$D:$D,"6-12 months",'Dogs - 2025'!$E:$E,"&gt;=01/01/2025",'Dogs - 2025'!$E:$E,"&lt;=1/31/2025",'Dogs - 2025'!$J:$J,"RTO")</f>
        <v>0</v>
      </c>
      <c r="D51">
        <f>COUNTIFS('Dogs - 2025'!$D:$D,"Adult",'Dogs - 2025'!$E:$E,"&gt;=01/01/2025",'Dogs - 2025'!$E:$E,"&lt;=1/31/2025",'Dogs - 2025'!$J:$J,"RTO")</f>
        <v>14</v>
      </c>
      <c r="E51">
        <f>COUNTIFS('Dogs - 2025'!$D:$D,"Senior",'Dogs - 2025'!$E:$E,"&gt;=01/01/2025",'Dogs - 2025'!$E:$E,"&lt;=1/31/2025",'Dogs - 2025'!$J:$J,"RTO")</f>
        <v>0</v>
      </c>
      <c r="F51" s="9">
        <f>SUM(B51:E51)</f>
        <v>14</v>
      </c>
    </row>
    <row r="52" spans="1:6" x14ac:dyDescent="0.2">
      <c r="A52" t="s">
        <v>337</v>
      </c>
      <c r="B52">
        <f>COUNTIFS('Dogs - 2025'!$D:$D,"0-6 months",'Dogs - 2025'!$E:$E,"&gt;=02/01/2025",'Dogs - 2025'!$E:$E,"&lt;=2/28/2025",'Dogs - 2025'!$J:$J,"RTO")</f>
        <v>0</v>
      </c>
      <c r="C52">
        <f>COUNTIFS('Dogs - 2025'!$D:$D,"6-12 months",'Dogs - 2025'!$E:$E,"&gt;=02/01/2025",'Dogs - 2025'!$E:$E,"&lt;=2/28/2025",'Dogs - 2025'!$J:$J,"RTO")</f>
        <v>0</v>
      </c>
      <c r="D52">
        <f>COUNTIFS('Dogs - 2025'!$D:$D,"Adult",'Dogs - 2025'!$E:$E,"&gt;=02/01/2025",'Dogs - 2025'!$E:$E,"&lt;=2/28/2025",'Dogs - 2025'!$J:$J,"RTO")</f>
        <v>9</v>
      </c>
      <c r="E52">
        <f>COUNTIFS('Dogs - 2025'!$D:$D,"Senior",'Dogs - 2025'!$E:$E,"&gt;=02/01/2025",'Dogs - 2025'!$E:$E,"&lt;=2/28/2025",'Dogs - 2025'!$J:$J,"RTO")</f>
        <v>2</v>
      </c>
      <c r="F52" s="9">
        <f t="shared" ref="F52:F62" si="9">SUM(B52:E52)</f>
        <v>11</v>
      </c>
    </row>
    <row r="53" spans="1:6" x14ac:dyDescent="0.2">
      <c r="A53" t="s">
        <v>338</v>
      </c>
      <c r="B53">
        <f>COUNTIFS('Dogs - 2025'!$D:$D,"0-6 months",'Dogs - 2025'!$E:$E,"&gt;=03/01/2025",'Dogs - 2025'!$E:$E,"&lt;=3/31/2025",'Dogs - 2025'!$J:$J,"RTO")</f>
        <v>0</v>
      </c>
      <c r="C53">
        <f>COUNTIFS('Dogs - 2025'!$D:$D,"6-12 months",'Dogs - 2025'!$E:$E,"&gt;=03/01/2025",'Dogs - 2025'!$E:$E,"&lt;=3/31/2025",'Dogs - 2025'!$J:$J,"RTO")</f>
        <v>0</v>
      </c>
      <c r="D53">
        <f>COUNTIFS('Dogs - 2025'!$D:$D,"Adult",'Dogs - 2025'!$E:$E,"&gt;=03/01/2025",'Dogs - 2025'!$E:$E,"&lt;=3/31/2025",'Dogs - 2025'!$J:$J,"RTO")</f>
        <v>14</v>
      </c>
      <c r="E53">
        <f>COUNTIFS('Dogs - 2025'!$D:$D,"Senior",'Dogs - 2025'!$E:$E,"&gt;=03/01/2025",'Dogs - 2025'!$E:$E,"&lt;=3/31/2025",'Dogs - 2025'!$J:$J,"RTO")</f>
        <v>1</v>
      </c>
      <c r="F53" s="9">
        <f t="shared" si="9"/>
        <v>15</v>
      </c>
    </row>
    <row r="54" spans="1:6" x14ac:dyDescent="0.2">
      <c r="A54" t="s">
        <v>339</v>
      </c>
      <c r="B54">
        <f>COUNTIFS('Dogs - 2025'!$D:$D,"0-6 months",'Dogs - 2025'!$E:$E,"&gt;=04/01/2025",'Dogs - 2025'!$E:$E,"&lt;=4/30/2025",'Dogs - 2025'!$J:$J,"RTO")</f>
        <v>2</v>
      </c>
      <c r="C54">
        <f>COUNTIFS('Dogs - 2025'!$D:$D,"6-12 months",'Dogs - 2025'!$E:$E,"&gt;=04/01/2025",'Dogs - 2025'!$E:$E,"&lt;=4/30/2025",'Dogs - 2025'!$J:$J,"RTO")</f>
        <v>0</v>
      </c>
      <c r="D54">
        <f>COUNTIFS('Dogs - 2025'!$D:$D,"Adult",'Dogs - 2025'!$E:$E,"&gt;=04/01/2025",'Dogs - 2025'!$E:$E,"&lt;=4/30/2025",'Dogs - 2025'!$J:$J,"RTO")</f>
        <v>11</v>
      </c>
      <c r="E54">
        <f>COUNTIFS('Dogs - 2025'!$D:$D,"Senior",'Dogs - 2025'!$E:$E,"&gt;=04/01/2025",'Dogs - 2025'!$E:$E,"&lt;=4/30/2025",'Dogs - 2025'!$J:$J,"RTO")</f>
        <v>1</v>
      </c>
      <c r="F54" s="9">
        <f t="shared" si="9"/>
        <v>14</v>
      </c>
    </row>
    <row r="55" spans="1:6" x14ac:dyDescent="0.2">
      <c r="A55" t="s">
        <v>340</v>
      </c>
      <c r="B55">
        <f>COUNTIFS('Dogs - 2025'!$D:$D,"0-6 months",'Dogs - 2025'!$E:$E,"&gt;=05/01/2025",'Dogs - 2025'!$E:$E,"&lt;=5/31/2025",'Dogs - 2025'!$J:$J,"RTO")</f>
        <v>1</v>
      </c>
      <c r="C55">
        <f>COUNTIFS('Dogs - 2025'!$D:$D,"6-12 months",'Dogs - 2025'!$E:$E,"&gt;=05/01/2025",'Dogs - 2025'!$E:$E,"&lt;=5/31/2025",'Dogs - 2025'!$J:$J,"RTO")</f>
        <v>1</v>
      </c>
      <c r="D55">
        <f>COUNTIFS('Dogs - 2025'!$D:$D,"Adult",'Dogs - 2025'!$E:$E,"&gt;=05/01/2025",'Dogs - 2025'!$E:$E,"&lt;=5/31/2025",'Dogs - 2025'!$J:$J,"RTO")</f>
        <v>22</v>
      </c>
      <c r="E55">
        <f>COUNTIFS('Dogs - 2025'!$D:$D,"Senior",'Dogs - 2025'!$E:$E,"&gt;=05/01/2025",'Dogs - 2025'!$E:$E,"&lt;=5/31/2025",'Dogs - 2025'!$J:$J,"RTO")</f>
        <v>2</v>
      </c>
      <c r="F55" s="9">
        <f t="shared" si="9"/>
        <v>26</v>
      </c>
    </row>
    <row r="56" spans="1:6" x14ac:dyDescent="0.2">
      <c r="A56" t="s">
        <v>341</v>
      </c>
      <c r="B56">
        <f>COUNTIFS('Dogs - 2025'!$D:$D,"0-6 months",'Dogs - 2025'!$E:$E,"&gt;=06/01/2025",'Dogs - 2025'!$E:$E,"&lt;=6/30/2025",'Dogs - 2025'!$J:$J,"RTO")</f>
        <v>1</v>
      </c>
      <c r="C56">
        <f>COUNTIFS('Dogs - 2025'!$D:$D,"6-12 months",'Dogs - 2025'!$E:$E,"&gt;=06/01/2025",'Dogs - 2025'!$E:$E,"&lt;=6/30/2025",'Dogs - 2025'!$J:$J,"RTO")</f>
        <v>0</v>
      </c>
      <c r="D56">
        <f>COUNTIFS('Dogs - 2025'!$D:$D,"Adult",'Dogs - 2025'!$E:$E,"&gt;=06/01/2025",'Dogs - 2025'!$E:$E,"&lt;=6/30/2025",'Dogs - 2025'!$J:$J,"RTO")</f>
        <v>17</v>
      </c>
      <c r="E56">
        <f>COUNTIFS('Dogs - 2025'!$D:$D,"Senior",'Dogs - 2025'!$E:$E,"&gt;=06/01/2025",'Dogs - 2025'!$E:$E,"&lt;=6/30/2025",'Dogs - 2025'!$J:$J,"RTO")</f>
        <v>0</v>
      </c>
      <c r="F56" s="9">
        <f t="shared" si="9"/>
        <v>18</v>
      </c>
    </row>
    <row r="57" spans="1:6" x14ac:dyDescent="0.2">
      <c r="A57" t="s">
        <v>342</v>
      </c>
      <c r="B57">
        <f>COUNTIFS('Dogs - 2025'!$D:$D,"0-6 months",'Dogs - 2025'!$E:$E,"&gt;=07/01/2025",'Dogs - 2025'!$E:$E,"&lt;=7/31/2025",'Dogs - 2025'!$J:$J,"RTO")</f>
        <v>0</v>
      </c>
      <c r="C57">
        <f>COUNTIFS('Dogs - 2025'!$D:$D,"6-12 months",'Dogs - 2025'!$E:$E,"&gt;=07/01/2025",'Dogs - 2025'!$E:$E,"&lt;=7/31/2025",'Dogs - 2025'!$J:$J,"RTO")</f>
        <v>1</v>
      </c>
      <c r="D57">
        <f>COUNTIFS('Dogs - 2025'!$D:$D,"Adult",'Dogs - 2025'!$E:$E,"&gt;=07/01/2025",'Dogs - 2025'!$E:$E,"&lt;=7/31/2025",'Dogs - 2025'!$J:$J,"RTO")</f>
        <v>16</v>
      </c>
      <c r="E57">
        <f>COUNTIFS('Dogs - 2025'!$D:$D,"Senior",'Dogs - 2025'!$E:$E,"&gt;=07/01/2025",'Dogs - 2025'!$E:$E,"&lt;=7/31/2025",'Dogs - 2025'!$J:$J,"RTO")</f>
        <v>0</v>
      </c>
      <c r="F57" s="9">
        <f t="shared" si="9"/>
        <v>17</v>
      </c>
    </row>
    <row r="58" spans="1:6" x14ac:dyDescent="0.2">
      <c r="A58" t="s">
        <v>343</v>
      </c>
      <c r="B58">
        <f>COUNTIFS('Dogs - 2025'!$D:$D,"0-6 months",'Dogs - 2025'!$E:$E,"&gt;=08/01/2025",'Dogs - 2025'!$E:$E,"&lt;=8/31/2025",'Dogs - 2025'!$J:$J,"RTO")</f>
        <v>0</v>
      </c>
      <c r="C58">
        <f>COUNTIFS('Dogs - 2025'!$D:$D,"6-12 months",'Dogs - 2025'!$E:$E,"&gt;=08/01/2025",'Dogs - 2025'!$E:$E,"&lt;=8/31/2025",'Dogs - 2025'!$J:$J,"RTO")</f>
        <v>1</v>
      </c>
      <c r="D58">
        <f>COUNTIFS('Dogs - 2025'!$D:$D,"Adult",'Dogs - 2025'!$E:$E,"&gt;=08/01/2025",'Dogs - 2025'!$E:$E,"&lt;=8/31/2025",'Dogs - 2025'!$J:$J,"RTO")</f>
        <v>25</v>
      </c>
      <c r="E58">
        <f>COUNTIFS('Dogs - 2025'!$D:$D,"Senior",'Dogs - 2025'!$E:$E,"&gt;=08/01/2025",'Dogs - 2025'!$E:$E,"&lt;=8/31/2025",'Dogs - 2025'!$J:$J,"RTO")</f>
        <v>0</v>
      </c>
      <c r="F58" s="9">
        <f t="shared" si="9"/>
        <v>26</v>
      </c>
    </row>
    <row r="59" spans="1:6" x14ac:dyDescent="0.2">
      <c r="A59" t="s">
        <v>344</v>
      </c>
      <c r="B59">
        <f>COUNTIFS('Dogs - 2025'!$D:$D,"0-6 months",'Dogs - 2025'!$E:$E,"&gt;=09/01/2025",'Dogs - 2025'!$E:$E,"&lt;=9/30/2025",'Dogs - 2025'!$J:$J,"RTO")</f>
        <v>0</v>
      </c>
      <c r="C59">
        <f>COUNTIFS('Dogs - 2025'!$D:$D,"6-12 months",'Dogs - 2025'!$E:$E,"&gt;=09/01/2025",'Dogs - 2025'!$E:$E,"&lt;=9/30/2025",'Dogs - 2025'!$J:$J,"RTO")</f>
        <v>1</v>
      </c>
      <c r="D59">
        <f>COUNTIFS('Dogs - 2025'!$D:$D,"Adult",'Dogs - 2025'!$E:$E,"&gt;=09/01/2025",'Dogs - 2025'!$E:$E,"&lt;=9/30/2025",'Dogs - 2025'!$J:$J,"RTO")</f>
        <v>6</v>
      </c>
      <c r="E59">
        <f>COUNTIFS('Dogs - 2025'!$D:$D,"Senior",'Dogs - 2025'!$E:$E,"&gt;=09/01/2025",'Dogs - 2025'!$E:$E,"&lt;=9/30/2025",'Dogs - 2025'!$J:$J,"RTO")</f>
        <v>0</v>
      </c>
      <c r="F59" s="9">
        <f t="shared" si="9"/>
        <v>7</v>
      </c>
    </row>
    <row r="60" spans="1:6" x14ac:dyDescent="0.2">
      <c r="A60" t="s">
        <v>345</v>
      </c>
      <c r="B60">
        <f>COUNTIFS('Dogs - 2025'!$D:$D,"0-6 months",'Dogs - 2025'!$E:$E,"&gt;=10/01/2025",'Dogs - 2025'!$E:$E,"&lt;=10/31/2025",'Dogs - 2025'!$J:$J,"RTO")</f>
        <v>0</v>
      </c>
      <c r="C60">
        <f>COUNTIFS('Dogs - 2025'!$D:$D,"6-12 months",'Dogs - 2025'!$E:$E,"&gt;=10/01/2025",'Dogs - 2025'!$E:$E,"&lt;=10/31/2025",'Dogs - 2025'!$J:$J,"RTO")</f>
        <v>0</v>
      </c>
      <c r="D60">
        <f>COUNTIFS('Dogs - 2025'!$D:$D,"Adult",'Dogs - 2025'!$E:$E,"&gt;=10/01/2025",'Dogs - 2025'!$E:$E,"&lt;=10/31/2025",'Dogs - 2025'!$J:$J,"RTO")</f>
        <v>0</v>
      </c>
      <c r="E60">
        <f>COUNTIFS('Dogs - 2025'!$D:$D,"Senior",'Dogs - 2025'!$E:$E,"&gt;=10/01/2025",'Dogs - 2025'!$E:$E,"&lt;=10/31/2025",'Dogs - 2025'!$J:$J,"RTO")</f>
        <v>0</v>
      </c>
      <c r="F60" s="9">
        <f t="shared" si="9"/>
        <v>0</v>
      </c>
    </row>
    <row r="61" spans="1:6" x14ac:dyDescent="0.2">
      <c r="A61" t="s">
        <v>346</v>
      </c>
      <c r="B61">
        <f>COUNTIFS('Dogs - 2025'!$D:$D,"0-6 months",'Dogs - 2025'!$E:$E,"&gt;=11/01/2025",'Dogs - 2025'!$E:$E,"&lt;=11/30/2025",'Dogs - 2025'!$J:$J,"RTO")</f>
        <v>0</v>
      </c>
      <c r="C61">
        <f>COUNTIFS('Dogs - 2025'!$D:$D,"6-12 months",'Dogs - 2025'!$E:$E,"&gt;=11/01/2025",'Dogs - 2025'!$E:$E,"&lt;=11/30/2025",'Dogs - 2025'!$J:$J,"RTO")</f>
        <v>0</v>
      </c>
      <c r="D61">
        <f>COUNTIFS('Dogs - 2025'!$D:$D,"Adult",'Dogs - 2025'!$E:$E,"&gt;=11/01/2025",'Dogs - 2025'!$E:$E,"&lt;=11/30/2025",'Dogs - 2025'!$J:$J,"RTO")</f>
        <v>0</v>
      </c>
      <c r="E61">
        <f>COUNTIFS('Dogs - 2025'!$D:$D,"Senior",'Dogs - 2025'!$E:$E,"&gt;=11/01/2025",'Dogs - 2025'!$E:$E,"&lt;=11/30/2025",'Dogs - 2025'!$J:$J,"RTO")</f>
        <v>0</v>
      </c>
      <c r="F61" s="9">
        <f t="shared" si="9"/>
        <v>0</v>
      </c>
    </row>
    <row r="62" spans="1:6" x14ac:dyDescent="0.2">
      <c r="A62" t="s">
        <v>347</v>
      </c>
      <c r="B62">
        <f>COUNTIFS('Dogs - 2025'!$D:$D,"0-6 months",'Dogs - 2025'!$E:$E,"&gt;=12/01/2025",'Dogs - 2025'!$E:$E,"&lt;=12/31/2025",'Dogs - 2025'!$J:$J,"RTO")</f>
        <v>0</v>
      </c>
      <c r="C62">
        <f>COUNTIFS('Dogs - 2025'!$D:$D,"6-12 months",'Dogs - 2025'!$E:$E,"&gt;=12/01/2025",'Dogs - 2025'!$E:$E,"&lt;=12/31/2025",'Dogs - 2025'!$J:$J,"RTO")</f>
        <v>0</v>
      </c>
      <c r="D62">
        <f>COUNTIFS('Dogs - 2025'!$D:$D,"Adult",'Dogs - 2025'!$E:$E,"&gt;=12/01/2025",'Dogs - 2025'!$E:$E,"&lt;=12/31/2025",'Dogs - 2025'!$J:$J,"RTO")</f>
        <v>0</v>
      </c>
      <c r="E62">
        <f>COUNTIFS('Dogs - 2025'!$D:$D,"Senior",'Dogs - 2025'!$E:$E,"&gt;=12/01/2025",'Dogs - 2025'!$E:$E,"&lt;=12/31/2025",'Dogs - 2025'!$J:$J,"RTO")</f>
        <v>0</v>
      </c>
      <c r="F62" s="9">
        <f t="shared" si="9"/>
        <v>0</v>
      </c>
    </row>
    <row r="63" spans="1:6" x14ac:dyDescent="0.2">
      <c r="A63" s="12"/>
      <c r="B63" s="12">
        <f>SUM(B51:B62)</f>
        <v>4</v>
      </c>
      <c r="C63" s="12">
        <f>SUM(C51:C62)</f>
        <v>4</v>
      </c>
      <c r="D63" s="12">
        <f>SUM(D51:D62)</f>
        <v>134</v>
      </c>
      <c r="E63" s="12">
        <f>SUM(E51:E62)</f>
        <v>6</v>
      </c>
      <c r="F63" s="12">
        <f>SUM(F51:F62)</f>
        <v>148</v>
      </c>
    </row>
  </sheetData>
  <mergeCells count="9">
    <mergeCell ref="P1:U1"/>
    <mergeCell ref="M1:N1"/>
    <mergeCell ref="A33:E33"/>
    <mergeCell ref="H33:L33"/>
    <mergeCell ref="A49:E49"/>
    <mergeCell ref="A1:E1"/>
    <mergeCell ref="H1:L1"/>
    <mergeCell ref="A17:E17"/>
    <mergeCell ref="H17:L17"/>
  </mergeCells>
  <phoneticPr fontId="3" type="noConversion"/>
  <pageMargins left="0.7" right="0.7" top="0.75" bottom="0.75" header="0.3" footer="0.3"/>
  <pageSetup scale="42" orientation="landscape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07B50-64FF-5E4F-942E-45A51EDDA0D8}">
  <dimension ref="A1"/>
  <sheetViews>
    <sheetView workbookViewId="0">
      <selection activeCell="J30" sqref="J30"/>
    </sheetView>
  </sheetViews>
  <sheetFormatPr baseColWidth="10" defaultRowHeight="16" x14ac:dyDescent="0.2"/>
  <sheetData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Template</vt:lpstr>
      <vt:lpstr>Cats - 2025</vt:lpstr>
      <vt:lpstr>Cat Report</vt:lpstr>
      <vt:lpstr>Dogs - 2025</vt:lpstr>
      <vt:lpstr>Dog Report</vt:lpstr>
      <vt:lpstr>Other - 2025</vt:lpstr>
      <vt:lpstr>'Cat Report'!Print_Area</vt:lpstr>
      <vt:lpstr>'Dog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Hoover</dc:creator>
  <cp:lastModifiedBy>Megan Hoover</cp:lastModifiedBy>
  <dcterms:created xsi:type="dcterms:W3CDTF">2025-08-24T15:34:18Z</dcterms:created>
  <dcterms:modified xsi:type="dcterms:W3CDTF">2026-02-21T19:56:21Z</dcterms:modified>
</cp:coreProperties>
</file>